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4.xml" ContentType="application/vnd.openxmlformats-officedocument.spreadsheetml.comments+xml"/>
  <Override PartName="/xl/drawings/drawing25.xml" ContentType="application/vnd.openxmlformats-officedocument.drawing+xml"/>
  <Override PartName="/xl/comments5.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6.xml" ContentType="application/vnd.openxmlformats-officedocument.spreadsheetml.comment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Meu Drive\LUCAS\SESAN\2024\Concorrência Eletrônica nº 3.2024.020 - ALAGAMENTO E CHEIAS\PROC 20.142 - PREVENÇÃO DE ALAGAMENTOS\"/>
    </mc:Choice>
  </mc:AlternateContent>
  <xr:revisionPtr revIDLastSave="0" documentId="13_ncr:1_{6719ADE3-B71B-4A01-A9FB-DFA48895CE0E}" xr6:coauthVersionLast="47" xr6:coauthVersionMax="47" xr10:uidLastSave="{00000000-0000-0000-0000-000000000000}"/>
  <bookViews>
    <workbookView xWindow="-120" yWindow="-120" windowWidth="21840" windowHeight="13140" tabRatio="867" firstSheet="5" activeTab="8" xr2:uid="{00000000-000D-0000-FFFF-FFFF00000000}"/>
  </bookViews>
  <sheets>
    <sheet name="PLANILHA GERAL" sheetId="16" r:id="rId1"/>
    <sheet name="MC-DRE" sheetId="37" r:id="rId2"/>
    <sheet name="MC-TER" sheetId="46" r:id="rId3"/>
    <sheet name="MC TERR" sheetId="65" r:id="rId4"/>
    <sheet name="MC-PAV" sheetId="39" r:id="rId5"/>
    <sheet name="Orç PONTE" sheetId="56" r:id="rId6"/>
    <sheet name="MC-PONTE" sheetId="57" r:id="rId7"/>
    <sheet name="MC DESM" sheetId="66" r:id="rId8"/>
    <sheet name="CRONOGRAMA" sheetId="26" r:id="rId9"/>
    <sheet name="RESUMO" sheetId="58" state="hidden" r:id="rId10"/>
    <sheet name="DADOS" sheetId="38" state="hidden" r:id="rId11"/>
    <sheet name="PREV INUNDAÇÕES" sheetId="63" r:id="rId12"/>
    <sheet name="MC D" sheetId="64" r:id="rId13"/>
    <sheet name="Composição-" sheetId="76" state="hidden" r:id="rId14"/>
    <sheet name="Composição1a" sheetId="67" r:id="rId15"/>
    <sheet name="Composição2" sheetId="68" r:id="rId16"/>
    <sheet name="Composição3a" sheetId="69" r:id="rId17"/>
    <sheet name="Composição4" sheetId="72" r:id="rId18"/>
    <sheet name="Composição5" sheetId="70" r:id="rId19"/>
    <sheet name="Composição6" sheetId="71" r:id="rId20"/>
    <sheet name="Composição7" sheetId="77" r:id="rId21"/>
    <sheet name="Composição8" sheetId="78" r:id="rId22"/>
    <sheet name="CPU'S" sheetId="73" state="hidden" r:id="rId23"/>
    <sheet name="CPU I" sheetId="47" state="hidden" r:id="rId24"/>
    <sheet name="CPU - 1" sheetId="48" r:id="rId25"/>
    <sheet name="CPU - 2" sheetId="53" r:id="rId26"/>
    <sheet name="CPU - 3" sheetId="54" r:id="rId27"/>
    <sheet name="CPU - 4" sheetId="49" r:id="rId28"/>
    <sheet name="CPU - 5" sheetId="50" r:id="rId29"/>
    <sheet name="CPU - 6" sheetId="51" r:id="rId30"/>
    <sheet name="CPU - 7" sheetId="52" r:id="rId31"/>
    <sheet name="CPU-VII" sheetId="43" state="hidden" r:id="rId32"/>
    <sheet name="LS" sheetId="33" r:id="rId33"/>
    <sheet name="BDI" sheetId="34" r:id="rId34"/>
    <sheet name="CPU-cbuq" sheetId="24" state="hidden" r:id="rId35"/>
    <sheet name="PV PARA REDE 600" sheetId="35" state="hidden"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0" localSheetId="13">#REF!</definedName>
    <definedName name="\0" localSheetId="14">#REF!</definedName>
    <definedName name="\0" localSheetId="15">#REF!</definedName>
    <definedName name="\0" localSheetId="16">#REF!</definedName>
    <definedName name="\0" localSheetId="17">#REF!</definedName>
    <definedName name="\0" localSheetId="18">#REF!</definedName>
    <definedName name="\0" localSheetId="20">#REF!</definedName>
    <definedName name="\0" localSheetId="21">#REF!</definedName>
    <definedName name="\0" localSheetId="7">#REF!</definedName>
    <definedName name="\0" localSheetId="3">#REF!</definedName>
    <definedName name="\0" localSheetId="11">#REF!</definedName>
    <definedName name="\0">#REF!</definedName>
    <definedName name="\C" localSheetId="13">#REF!</definedName>
    <definedName name="\C" localSheetId="14">#REF!</definedName>
    <definedName name="\C" localSheetId="15">#REF!</definedName>
    <definedName name="\C" localSheetId="16">#REF!</definedName>
    <definedName name="\C" localSheetId="17">#REF!</definedName>
    <definedName name="\C" localSheetId="18">#REF!</definedName>
    <definedName name="\C" localSheetId="20">#REF!</definedName>
    <definedName name="\C" localSheetId="21">#REF!</definedName>
    <definedName name="\C" localSheetId="7">#REF!</definedName>
    <definedName name="\C" localSheetId="3">#REF!</definedName>
    <definedName name="\C" localSheetId="11">#REF!</definedName>
    <definedName name="\c">'[1]Bm 8'!#REF!</definedName>
    <definedName name="\D" localSheetId="13">#REF!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20">#REF!</definedName>
    <definedName name="\D" localSheetId="21">#REF!</definedName>
    <definedName name="\D" localSheetId="7">#REF!</definedName>
    <definedName name="\D" localSheetId="3">#REF!</definedName>
    <definedName name="\D" localSheetId="11">#REF!</definedName>
    <definedName name="\d">'[1]Bm 8'!#REF!</definedName>
    <definedName name="\f">#N/A</definedName>
    <definedName name="\G" localSheetId="13">#REF!</definedName>
    <definedName name="\G" localSheetId="14">#REF!</definedName>
    <definedName name="\G" localSheetId="15">#REF!</definedName>
    <definedName name="\G" localSheetId="16">#REF!</definedName>
    <definedName name="\G" localSheetId="17">#REF!</definedName>
    <definedName name="\G" localSheetId="18">#REF!</definedName>
    <definedName name="\G" localSheetId="20">#REF!</definedName>
    <definedName name="\G" localSheetId="21">#REF!</definedName>
    <definedName name="\G" localSheetId="7">#REF!</definedName>
    <definedName name="\G" localSheetId="3">#REF!</definedName>
    <definedName name="\G" localSheetId="11">#REF!</definedName>
    <definedName name="\G">[2]Reforma!#REF!</definedName>
    <definedName name="\I" localSheetId="13">#REF!</definedName>
    <definedName name="\I" localSheetId="14">#REF!</definedName>
    <definedName name="\I" localSheetId="15">#REF!</definedName>
    <definedName name="\I" localSheetId="16">#REF!</definedName>
    <definedName name="\I" localSheetId="17">#REF!</definedName>
    <definedName name="\I" localSheetId="18">#REF!</definedName>
    <definedName name="\I" localSheetId="20">#REF!</definedName>
    <definedName name="\I" localSheetId="21">#REF!</definedName>
    <definedName name="\I" localSheetId="7">#REF!</definedName>
    <definedName name="\I" localSheetId="3">#REF!</definedName>
    <definedName name="\I" localSheetId="11">#REF!</definedName>
    <definedName name="\I">[2]Reforma!#REF!</definedName>
    <definedName name="\M" localSheetId="13">#REF!</definedName>
    <definedName name="\M" localSheetId="14">#REF!</definedName>
    <definedName name="\M" localSheetId="15">#REF!</definedName>
    <definedName name="\M" localSheetId="16">#REF!</definedName>
    <definedName name="\M" localSheetId="17">#REF!</definedName>
    <definedName name="\M" localSheetId="18">#REF!</definedName>
    <definedName name="\M" localSheetId="20">#REF!</definedName>
    <definedName name="\M" localSheetId="21">#REF!</definedName>
    <definedName name="\M" localSheetId="7">#REF!</definedName>
    <definedName name="\M" localSheetId="3">#REF!</definedName>
    <definedName name="\M" localSheetId="11">#REF!</definedName>
    <definedName name="\M">[2]Reforma!#REF!</definedName>
    <definedName name="\P" localSheetId="13">#REF!</definedName>
    <definedName name="\P" localSheetId="14">#REF!</definedName>
    <definedName name="\P" localSheetId="15">#REF!</definedName>
    <definedName name="\P" localSheetId="16">#REF!</definedName>
    <definedName name="\P" localSheetId="17">#REF!</definedName>
    <definedName name="\P" localSheetId="18">#REF!</definedName>
    <definedName name="\P" localSheetId="20">#REF!</definedName>
    <definedName name="\P" localSheetId="21">#REF!</definedName>
    <definedName name="\P" localSheetId="7">#REF!</definedName>
    <definedName name="\P" localSheetId="3">#REF!</definedName>
    <definedName name="\P" localSheetId="11">#REF!</definedName>
    <definedName name="\p">#N/A</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20">#REF!</definedName>
    <definedName name="\q" localSheetId="21">#REF!</definedName>
    <definedName name="\q" localSheetId="7">#REF!</definedName>
    <definedName name="\q" localSheetId="3">#REF!</definedName>
    <definedName name="\q" localSheetId="11">#REF!</definedName>
    <definedName name="\q">'[1]Bm 8'!#REF!</definedName>
    <definedName name="\R" localSheetId="13">#REF!</definedName>
    <definedName name="\R" localSheetId="14">#REF!</definedName>
    <definedName name="\R" localSheetId="15">#REF!</definedName>
    <definedName name="\R" localSheetId="16">#REF!</definedName>
    <definedName name="\R" localSheetId="17">#REF!</definedName>
    <definedName name="\R" localSheetId="18">#REF!</definedName>
    <definedName name="\R" localSheetId="20">#REF!</definedName>
    <definedName name="\R" localSheetId="21">#REF!</definedName>
    <definedName name="\R" localSheetId="7">#REF!</definedName>
    <definedName name="\R" localSheetId="3">#REF!</definedName>
    <definedName name="\R" localSheetId="11">#REF!</definedName>
    <definedName name="\R">[2]Reforma!#REF!</definedName>
    <definedName name="\s" localSheetId="13">#REF!</definedName>
    <definedName name="\s" localSheetId="14">#REF!</definedName>
    <definedName name="\s" localSheetId="15">#REF!</definedName>
    <definedName name="\s" localSheetId="16">#REF!</definedName>
    <definedName name="\s" localSheetId="17">#REF!</definedName>
    <definedName name="\s" localSheetId="18">#REF!</definedName>
    <definedName name="\s" localSheetId="20">#REF!</definedName>
    <definedName name="\s" localSheetId="21">#REF!</definedName>
    <definedName name="\s" localSheetId="7">#REF!</definedName>
    <definedName name="\s" localSheetId="3">#REF!</definedName>
    <definedName name="\s" localSheetId="11">#REF!</definedName>
    <definedName name="\s">'[1]Bm 8'!#REF!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20">#REF!</definedName>
    <definedName name="\x" localSheetId="21">#REF!</definedName>
    <definedName name="\X" localSheetId="7">#REF!</definedName>
    <definedName name="\x" localSheetId="3">#REF!</definedName>
    <definedName name="\x" localSheetId="11">#REF!</definedName>
    <definedName name="\x">'[1]Bm 8'!#REF!</definedName>
    <definedName name="\Y" localSheetId="13">#REF!</definedName>
    <definedName name="\Y" localSheetId="14">#REF!</definedName>
    <definedName name="\Y" localSheetId="15">#REF!</definedName>
    <definedName name="\Y" localSheetId="16">#REF!</definedName>
    <definedName name="\Y" localSheetId="17">#REF!</definedName>
    <definedName name="\Y" localSheetId="18">#REF!</definedName>
    <definedName name="\Y" localSheetId="20">#REF!</definedName>
    <definedName name="\Y" localSheetId="21">#REF!</definedName>
    <definedName name="\Y" localSheetId="7">#REF!</definedName>
    <definedName name="\Y" localSheetId="3">#REF!</definedName>
    <definedName name="\Y" localSheetId="11">#REF!</definedName>
    <definedName name="\Y">[2]Reforma!#REF!</definedName>
    <definedName name="_" localSheetId="13">#REF!</definedName>
    <definedName name="_" localSheetId="14">#REF!</definedName>
    <definedName name="_" localSheetId="15">#REF!</definedName>
    <definedName name="_" localSheetId="16">#REF!</definedName>
    <definedName name="_" localSheetId="17">#REF!</definedName>
    <definedName name="_" localSheetId="18">#REF!</definedName>
    <definedName name="_" localSheetId="20">#REF!</definedName>
    <definedName name="_" localSheetId="21">#REF!</definedName>
    <definedName name="_" localSheetId="7">#REF!</definedName>
    <definedName name="_" localSheetId="3">#REF!</definedName>
    <definedName name="_" localSheetId="11">#REF!</definedName>
    <definedName name="_">[2]Reforma!#REF!</definedName>
    <definedName name="_______________________________________________________________r" localSheetId="22">#REF!</definedName>
    <definedName name="_______________________________________________________________r">#REF!</definedName>
    <definedName name="______________________________________________________________r" localSheetId="22">#REF!</definedName>
    <definedName name="______________________________________________________________r">#REF!</definedName>
    <definedName name="_____________________________________________________________r" localSheetId="22">#REF!</definedName>
    <definedName name="_____________________________________________________________r">#REF!</definedName>
    <definedName name="____________________________________________________________r">#REF!</definedName>
    <definedName name="___________________________________________________________r">#REF!</definedName>
    <definedName name="__________________________________________________________r">#REF!</definedName>
    <definedName name="_________________________________________________________r">#REF!</definedName>
    <definedName name="________________________________________________________r">#REF!</definedName>
    <definedName name="_______________________________________________________r">#REF!</definedName>
    <definedName name="______________________________________________________r">#REF!</definedName>
    <definedName name="_____________________________________________________r">#REF!</definedName>
    <definedName name="____________________________________________________r">#REF!</definedName>
    <definedName name="___________________________________________________r">#REF!</definedName>
    <definedName name="__________________________________________________r">#REF!</definedName>
    <definedName name="_________________________________________________r" localSheetId="13">#REF!</definedName>
    <definedName name="_________________________________________________r" localSheetId="14">#REF!</definedName>
    <definedName name="_________________________________________________r" localSheetId="15">#REF!</definedName>
    <definedName name="_________________________________________________r" localSheetId="16">#REF!</definedName>
    <definedName name="_________________________________________________r" localSheetId="17">#REF!</definedName>
    <definedName name="_________________________________________________r" localSheetId="18">#REF!</definedName>
    <definedName name="_________________________________________________r" localSheetId="20">#REF!</definedName>
    <definedName name="_________________________________________________r" localSheetId="21">#REF!</definedName>
    <definedName name="_________________________________________________r" localSheetId="3">#REF!</definedName>
    <definedName name="_________________________________________________r" localSheetId="11">#REF!</definedName>
    <definedName name="_________________________________________________r">#REF!</definedName>
    <definedName name="________________________________________________r" localSheetId="13">#REF!</definedName>
    <definedName name="________________________________________________r" localSheetId="14">#REF!</definedName>
    <definedName name="________________________________________________r" localSheetId="15">#REF!</definedName>
    <definedName name="________________________________________________r" localSheetId="16">#REF!</definedName>
    <definedName name="________________________________________________r" localSheetId="17">#REF!</definedName>
    <definedName name="________________________________________________r" localSheetId="18">#REF!</definedName>
    <definedName name="________________________________________________r" localSheetId="20">#REF!</definedName>
    <definedName name="________________________________________________r" localSheetId="21">#REF!</definedName>
    <definedName name="________________________________________________r" localSheetId="3">#REF!</definedName>
    <definedName name="________________________________________________r" localSheetId="11">#REF!</definedName>
    <definedName name="________________________________________________r">#REF!</definedName>
    <definedName name="_______________________________________________r" localSheetId="13">#REF!</definedName>
    <definedName name="_______________________________________________r" localSheetId="14">#REF!</definedName>
    <definedName name="_______________________________________________r" localSheetId="15">#REF!</definedName>
    <definedName name="_______________________________________________r" localSheetId="16">#REF!</definedName>
    <definedName name="_______________________________________________r" localSheetId="17">#REF!</definedName>
    <definedName name="_______________________________________________r" localSheetId="18">#REF!</definedName>
    <definedName name="_______________________________________________r" localSheetId="20">#REF!</definedName>
    <definedName name="_______________________________________________r" localSheetId="21">#REF!</definedName>
    <definedName name="_______________________________________________r" localSheetId="3">#REF!</definedName>
    <definedName name="_______________________________________________r" localSheetId="11">#REF!</definedName>
    <definedName name="_______________________________________________r">#REF!</definedName>
    <definedName name="______________________________________________r" localSheetId="13">#REF!</definedName>
    <definedName name="______________________________________________r" localSheetId="14">#REF!</definedName>
    <definedName name="______________________________________________r" localSheetId="15">#REF!</definedName>
    <definedName name="______________________________________________r" localSheetId="16">#REF!</definedName>
    <definedName name="______________________________________________r" localSheetId="17">#REF!</definedName>
    <definedName name="______________________________________________r" localSheetId="18">#REF!</definedName>
    <definedName name="______________________________________________r" localSheetId="20">#REF!</definedName>
    <definedName name="______________________________________________r" localSheetId="21">#REF!</definedName>
    <definedName name="______________________________________________r" localSheetId="3">#REF!</definedName>
    <definedName name="______________________________________________r" localSheetId="11">#REF!</definedName>
    <definedName name="______________________________________________r">#REF!</definedName>
    <definedName name="_____________________________________________r">#REF!</definedName>
    <definedName name="____________________________________________r" localSheetId="13">#REF!</definedName>
    <definedName name="____________________________________________r" localSheetId="14">#REF!</definedName>
    <definedName name="____________________________________________r" localSheetId="15">#REF!</definedName>
    <definedName name="____________________________________________r" localSheetId="16">#REF!</definedName>
    <definedName name="____________________________________________r" localSheetId="17">#REF!</definedName>
    <definedName name="____________________________________________r" localSheetId="18">#REF!</definedName>
    <definedName name="____________________________________________r" localSheetId="20">#REF!</definedName>
    <definedName name="____________________________________________r" localSheetId="21">#REF!</definedName>
    <definedName name="____________________________________________r" localSheetId="3">#REF!</definedName>
    <definedName name="____________________________________________r" localSheetId="11">#REF!</definedName>
    <definedName name="____________________________________________r">#REF!</definedName>
    <definedName name="___________________________________________r" localSheetId="13">#REF!</definedName>
    <definedName name="___________________________________________r" localSheetId="14">#REF!</definedName>
    <definedName name="___________________________________________r" localSheetId="15">#REF!</definedName>
    <definedName name="___________________________________________r" localSheetId="16">#REF!</definedName>
    <definedName name="___________________________________________r" localSheetId="17">#REF!</definedName>
    <definedName name="___________________________________________r" localSheetId="18">#REF!</definedName>
    <definedName name="___________________________________________r" localSheetId="20">#REF!</definedName>
    <definedName name="___________________________________________r" localSheetId="21">#REF!</definedName>
    <definedName name="___________________________________________r" localSheetId="7">#REF!</definedName>
    <definedName name="___________________________________________r" localSheetId="3">#REF!</definedName>
    <definedName name="___________________________________________r" localSheetId="11">#REF!</definedName>
    <definedName name="___________________________________________r">#REF!</definedName>
    <definedName name="__________________________________________r" localSheetId="13">#REF!</definedName>
    <definedName name="__________________________________________r" localSheetId="14">#REF!</definedName>
    <definedName name="__________________________________________r" localSheetId="15">#REF!</definedName>
    <definedName name="__________________________________________r" localSheetId="16">#REF!</definedName>
    <definedName name="__________________________________________r" localSheetId="17">#REF!</definedName>
    <definedName name="__________________________________________r" localSheetId="18">#REF!</definedName>
    <definedName name="__________________________________________r" localSheetId="20">#REF!</definedName>
    <definedName name="__________________________________________r" localSheetId="21">#REF!</definedName>
    <definedName name="__________________________________________r" localSheetId="7">#REF!</definedName>
    <definedName name="__________________________________________r" localSheetId="3">#REF!</definedName>
    <definedName name="__________________________________________r" localSheetId="11">#REF!</definedName>
    <definedName name="__________________________________________r">#REF!</definedName>
    <definedName name="_________________________________________r" localSheetId="13">#REF!</definedName>
    <definedName name="_________________________________________r" localSheetId="14">#REF!</definedName>
    <definedName name="_________________________________________r" localSheetId="15">#REF!</definedName>
    <definedName name="_________________________________________r" localSheetId="16">#REF!</definedName>
    <definedName name="_________________________________________r" localSheetId="17">#REF!</definedName>
    <definedName name="_________________________________________r" localSheetId="18">#REF!</definedName>
    <definedName name="_________________________________________r" localSheetId="20">#REF!</definedName>
    <definedName name="_________________________________________r" localSheetId="21">#REF!</definedName>
    <definedName name="_________________________________________r" localSheetId="7">#REF!</definedName>
    <definedName name="_________________________________________r" localSheetId="3">#REF!</definedName>
    <definedName name="_________________________________________r" localSheetId="11">#REF!</definedName>
    <definedName name="_________________________________________r">#REF!</definedName>
    <definedName name="________________________________________r" localSheetId="13">#REF!</definedName>
    <definedName name="________________________________________r" localSheetId="14">#REF!</definedName>
    <definedName name="________________________________________r" localSheetId="15">#REF!</definedName>
    <definedName name="________________________________________r" localSheetId="16">#REF!</definedName>
    <definedName name="________________________________________r" localSheetId="17">#REF!</definedName>
    <definedName name="________________________________________r" localSheetId="18">#REF!</definedName>
    <definedName name="________________________________________r" localSheetId="20">#REF!</definedName>
    <definedName name="________________________________________r" localSheetId="21">#REF!</definedName>
    <definedName name="________________________________________r" localSheetId="7">#REF!</definedName>
    <definedName name="________________________________________r" localSheetId="3">#REF!</definedName>
    <definedName name="________________________________________r" localSheetId="11">#REF!</definedName>
    <definedName name="________________________________________r">#REF!</definedName>
    <definedName name="_______________________________________r" localSheetId="13">#REF!</definedName>
    <definedName name="_______________________________________r" localSheetId="14">#REF!</definedName>
    <definedName name="_______________________________________r" localSheetId="15">#REF!</definedName>
    <definedName name="_______________________________________r" localSheetId="16">#REF!</definedName>
    <definedName name="_______________________________________r" localSheetId="17">#REF!</definedName>
    <definedName name="_______________________________________r" localSheetId="18">#REF!</definedName>
    <definedName name="_______________________________________r" localSheetId="20">#REF!</definedName>
    <definedName name="_______________________________________r" localSheetId="21">#REF!</definedName>
    <definedName name="_______________________________________r" localSheetId="7">#REF!</definedName>
    <definedName name="_______________________________________r" localSheetId="3">#REF!</definedName>
    <definedName name="_______________________________________r" localSheetId="11">#REF!</definedName>
    <definedName name="_______________________________________r">#REF!</definedName>
    <definedName name="______________________________________r" localSheetId="13">#REF!</definedName>
    <definedName name="______________________________________r" localSheetId="14">#REF!</definedName>
    <definedName name="______________________________________r" localSheetId="15">#REF!</definedName>
    <definedName name="______________________________________r" localSheetId="16">#REF!</definedName>
    <definedName name="______________________________________r" localSheetId="17">#REF!</definedName>
    <definedName name="______________________________________r" localSheetId="18">#REF!</definedName>
    <definedName name="______________________________________r" localSheetId="20">#REF!</definedName>
    <definedName name="______________________________________r" localSheetId="21">#REF!</definedName>
    <definedName name="______________________________________r" localSheetId="7">#REF!</definedName>
    <definedName name="______________________________________r" localSheetId="3">#REF!</definedName>
    <definedName name="______________________________________r" localSheetId="11">#REF!</definedName>
    <definedName name="______________________________________r">#REF!</definedName>
    <definedName name="_____________________________________r" localSheetId="13">#REF!</definedName>
    <definedName name="_____________________________________r" localSheetId="14">#REF!</definedName>
    <definedName name="_____________________________________r" localSheetId="15">#REF!</definedName>
    <definedName name="_____________________________________r" localSheetId="16">#REF!</definedName>
    <definedName name="_____________________________________r" localSheetId="17">#REF!</definedName>
    <definedName name="_____________________________________r" localSheetId="18">#REF!</definedName>
    <definedName name="_____________________________________r" localSheetId="20">#REF!</definedName>
    <definedName name="_____________________________________r" localSheetId="21">#REF!</definedName>
    <definedName name="_____________________________________r" localSheetId="7">#REF!</definedName>
    <definedName name="_____________________________________r" localSheetId="3">#REF!</definedName>
    <definedName name="_____________________________________r" localSheetId="11">#REF!</definedName>
    <definedName name="_____________________________________r">#REF!</definedName>
    <definedName name="____________________________________r" localSheetId="13">#REF!</definedName>
    <definedName name="____________________________________r" localSheetId="14">#REF!</definedName>
    <definedName name="____________________________________r" localSheetId="15">#REF!</definedName>
    <definedName name="____________________________________r" localSheetId="16">#REF!</definedName>
    <definedName name="____________________________________r" localSheetId="17">#REF!</definedName>
    <definedName name="____________________________________r" localSheetId="18">#REF!</definedName>
    <definedName name="____________________________________r" localSheetId="20">#REF!</definedName>
    <definedName name="____________________________________r" localSheetId="21">#REF!</definedName>
    <definedName name="____________________________________r" localSheetId="7">#REF!</definedName>
    <definedName name="____________________________________r" localSheetId="3">#REF!</definedName>
    <definedName name="____________________________________r" localSheetId="11">#REF!</definedName>
    <definedName name="____________________________________r">#REF!</definedName>
    <definedName name="___________________________________r" localSheetId="13">#REF!</definedName>
    <definedName name="___________________________________r" localSheetId="14">#REF!</definedName>
    <definedName name="___________________________________r" localSheetId="15">#REF!</definedName>
    <definedName name="___________________________________r" localSheetId="16">#REF!</definedName>
    <definedName name="___________________________________r" localSheetId="17">#REF!</definedName>
    <definedName name="___________________________________r" localSheetId="18">#REF!</definedName>
    <definedName name="___________________________________r" localSheetId="20">#REF!</definedName>
    <definedName name="___________________________________r" localSheetId="21">#REF!</definedName>
    <definedName name="___________________________________r" localSheetId="7">#REF!</definedName>
    <definedName name="___________________________________r" localSheetId="3">#REF!</definedName>
    <definedName name="___________________________________r" localSheetId="11">#REF!</definedName>
    <definedName name="___________________________________r">#REF!</definedName>
    <definedName name="__________________________________r" localSheetId="13">#REF!</definedName>
    <definedName name="__________________________________r" localSheetId="14">#REF!</definedName>
    <definedName name="__________________________________r" localSheetId="15">#REF!</definedName>
    <definedName name="__________________________________r" localSheetId="16">#REF!</definedName>
    <definedName name="__________________________________r" localSheetId="17">#REF!</definedName>
    <definedName name="__________________________________r" localSheetId="18">#REF!</definedName>
    <definedName name="__________________________________r" localSheetId="20">#REF!</definedName>
    <definedName name="__________________________________r" localSheetId="21">#REF!</definedName>
    <definedName name="__________________________________r" localSheetId="7">#REF!</definedName>
    <definedName name="__________________________________r" localSheetId="3">#REF!</definedName>
    <definedName name="__________________________________r" localSheetId="11">#REF!</definedName>
    <definedName name="__________________________________r">#REF!</definedName>
    <definedName name="_________________________________r" localSheetId="13">#REF!</definedName>
    <definedName name="_________________________________r" localSheetId="14">#REF!</definedName>
    <definedName name="_________________________________r" localSheetId="15">#REF!</definedName>
    <definedName name="_________________________________r" localSheetId="16">#REF!</definedName>
    <definedName name="_________________________________r" localSheetId="17">#REF!</definedName>
    <definedName name="_________________________________r" localSheetId="18">#REF!</definedName>
    <definedName name="_________________________________r" localSheetId="20">#REF!</definedName>
    <definedName name="_________________________________r" localSheetId="21">#REF!</definedName>
    <definedName name="_________________________________r" localSheetId="7">#REF!</definedName>
    <definedName name="_________________________________r" localSheetId="3">#REF!</definedName>
    <definedName name="_________________________________r" localSheetId="11">#REF!</definedName>
    <definedName name="_________________________________r">#REF!</definedName>
    <definedName name="________________________________BOR1">#REF!</definedName>
    <definedName name="________________________________MAT1" localSheetId="22">#REF!</definedName>
    <definedName name="________________________________MAT1">#REF!</definedName>
    <definedName name="________________________________r" localSheetId="13">#REF!</definedName>
    <definedName name="________________________________r" localSheetId="14">#REF!</definedName>
    <definedName name="________________________________r" localSheetId="15">#REF!</definedName>
    <definedName name="________________________________r" localSheetId="16">#REF!</definedName>
    <definedName name="________________________________r" localSheetId="17">#REF!</definedName>
    <definedName name="________________________________r" localSheetId="18">#REF!</definedName>
    <definedName name="________________________________r" localSheetId="20">#REF!</definedName>
    <definedName name="________________________________r" localSheetId="21">#REF!</definedName>
    <definedName name="________________________________r" localSheetId="7">#REF!</definedName>
    <definedName name="________________________________r" localSheetId="3">#REF!</definedName>
    <definedName name="________________________________r" localSheetId="11">#REF!</definedName>
    <definedName name="________________________________r">#REF!</definedName>
    <definedName name="_______________________________BOR1">#REF!</definedName>
    <definedName name="_______________________________MAT1" localSheetId="22">#REF!</definedName>
    <definedName name="_______________________________MAT1">#REF!</definedName>
    <definedName name="_______________________________r" localSheetId="13">#REF!</definedName>
    <definedName name="_______________________________r" localSheetId="14">#REF!</definedName>
    <definedName name="_______________________________r" localSheetId="15">#REF!</definedName>
    <definedName name="_______________________________r" localSheetId="16">#REF!</definedName>
    <definedName name="_______________________________r" localSheetId="17">#REF!</definedName>
    <definedName name="_______________________________r" localSheetId="18">#REF!</definedName>
    <definedName name="_______________________________r" localSheetId="20">#REF!</definedName>
    <definedName name="_______________________________r" localSheetId="21">#REF!</definedName>
    <definedName name="_______________________________r" localSheetId="7">#REF!</definedName>
    <definedName name="_______________________________r" localSheetId="3">#REF!</definedName>
    <definedName name="_______________________________r" localSheetId="11">#REF!</definedName>
    <definedName name="_______________________________r">#REF!</definedName>
    <definedName name="______________________________BOR1">#REF!</definedName>
    <definedName name="______________________________MAT1" localSheetId="22">#REF!</definedName>
    <definedName name="______________________________MAT1">#REF!</definedName>
    <definedName name="______________________________r" localSheetId="13">#REF!</definedName>
    <definedName name="______________________________r" localSheetId="14">#REF!</definedName>
    <definedName name="______________________________r" localSheetId="15">#REF!</definedName>
    <definedName name="______________________________r" localSheetId="16">#REF!</definedName>
    <definedName name="______________________________r" localSheetId="17">#REF!</definedName>
    <definedName name="______________________________r" localSheetId="18">#REF!</definedName>
    <definedName name="______________________________r" localSheetId="20">#REF!</definedName>
    <definedName name="______________________________r" localSheetId="21">#REF!</definedName>
    <definedName name="______________________________r" localSheetId="7">#REF!</definedName>
    <definedName name="______________________________r" localSheetId="3">#REF!</definedName>
    <definedName name="______________________________r" localSheetId="11">#REF!</definedName>
    <definedName name="______________________________r">#REF!</definedName>
    <definedName name="_____________________________BOR1">#REF!</definedName>
    <definedName name="_____________________________MAT1" localSheetId="22">#REF!</definedName>
    <definedName name="_____________________________MAT1">#REF!</definedName>
    <definedName name="_____________________________r" localSheetId="13">#REF!</definedName>
    <definedName name="_____________________________r" localSheetId="14">#REF!</definedName>
    <definedName name="_____________________________r" localSheetId="15">#REF!</definedName>
    <definedName name="_____________________________r" localSheetId="16">#REF!</definedName>
    <definedName name="_____________________________r" localSheetId="17">#REF!</definedName>
    <definedName name="_____________________________r" localSheetId="18">#REF!</definedName>
    <definedName name="_____________________________r" localSheetId="20">#REF!</definedName>
    <definedName name="_____________________________r" localSheetId="21">#REF!</definedName>
    <definedName name="_____________________________r" localSheetId="7">#REF!</definedName>
    <definedName name="_____________________________r" localSheetId="3">#REF!</definedName>
    <definedName name="_____________________________r" localSheetId="11">#REF!</definedName>
    <definedName name="_____________________________r">#REF!</definedName>
    <definedName name="____________________________BOR1">#REF!</definedName>
    <definedName name="____________________________MAT1" localSheetId="22">#REF!</definedName>
    <definedName name="____________________________MAT1">#REF!</definedName>
    <definedName name="____________________________r" localSheetId="13">#REF!</definedName>
    <definedName name="____________________________r" localSheetId="14">#REF!</definedName>
    <definedName name="____________________________r" localSheetId="15">#REF!</definedName>
    <definedName name="____________________________r" localSheetId="16">#REF!</definedName>
    <definedName name="____________________________r" localSheetId="17">#REF!</definedName>
    <definedName name="____________________________r" localSheetId="18">#REF!</definedName>
    <definedName name="____________________________r" localSheetId="20">#REF!</definedName>
    <definedName name="____________________________r" localSheetId="21">#REF!</definedName>
    <definedName name="____________________________r" localSheetId="7">#REF!</definedName>
    <definedName name="____________________________r" localSheetId="3">#REF!</definedName>
    <definedName name="____________________________r" localSheetId="11">#REF!</definedName>
    <definedName name="____________________________r">#REF!</definedName>
    <definedName name="___________________________BOR1">#REF!</definedName>
    <definedName name="___________________________MAT1" localSheetId="22">#REF!</definedName>
    <definedName name="___________________________MAT1">#REF!</definedName>
    <definedName name="___________________________r" localSheetId="13">#REF!</definedName>
    <definedName name="___________________________r" localSheetId="14">#REF!</definedName>
    <definedName name="___________________________r" localSheetId="15">#REF!</definedName>
    <definedName name="___________________________r" localSheetId="16">#REF!</definedName>
    <definedName name="___________________________r" localSheetId="17">#REF!</definedName>
    <definedName name="___________________________r" localSheetId="18">#REF!</definedName>
    <definedName name="___________________________r" localSheetId="20">#REF!</definedName>
    <definedName name="___________________________r" localSheetId="21">#REF!</definedName>
    <definedName name="___________________________r" localSheetId="7">#REF!</definedName>
    <definedName name="___________________________r" localSheetId="3">#REF!</definedName>
    <definedName name="___________________________r" localSheetId="11">#REF!</definedName>
    <definedName name="___________________________r">#REF!</definedName>
    <definedName name="__________________________BOR1">#REF!</definedName>
    <definedName name="__________________________MAT1" localSheetId="22">#REF!</definedName>
    <definedName name="__________________________MAT1">#REF!</definedName>
    <definedName name="__________________________r" localSheetId="13">#REF!</definedName>
    <definedName name="__________________________r" localSheetId="14">#REF!</definedName>
    <definedName name="__________________________r" localSheetId="15">#REF!</definedName>
    <definedName name="__________________________r" localSheetId="16">#REF!</definedName>
    <definedName name="__________________________r" localSheetId="17">#REF!</definedName>
    <definedName name="__________________________r" localSheetId="18">#REF!</definedName>
    <definedName name="__________________________r" localSheetId="20">#REF!</definedName>
    <definedName name="__________________________r" localSheetId="21">#REF!</definedName>
    <definedName name="__________________________r" localSheetId="7">#REF!</definedName>
    <definedName name="__________________________r" localSheetId="3">#REF!</definedName>
    <definedName name="__________________________r" localSheetId="11">#REF!</definedName>
    <definedName name="__________________________r">#REF!</definedName>
    <definedName name="_________________________BOR1">#REF!</definedName>
    <definedName name="_________________________MAT1" localSheetId="22">#REF!</definedName>
    <definedName name="_________________________MAT1">#REF!</definedName>
    <definedName name="_________________________r" localSheetId="13">#REF!</definedName>
    <definedName name="_________________________r" localSheetId="14">#REF!</definedName>
    <definedName name="_________________________r" localSheetId="15">#REF!</definedName>
    <definedName name="_________________________r" localSheetId="16">#REF!</definedName>
    <definedName name="_________________________r" localSheetId="17">#REF!</definedName>
    <definedName name="_________________________r" localSheetId="18">#REF!</definedName>
    <definedName name="_________________________r" localSheetId="20">#REF!</definedName>
    <definedName name="_________________________r" localSheetId="21">#REF!</definedName>
    <definedName name="_________________________r" localSheetId="7">#REF!</definedName>
    <definedName name="_________________________r" localSheetId="3">#REF!</definedName>
    <definedName name="_________________________r" localSheetId="11">#REF!</definedName>
    <definedName name="_________________________r">#REF!</definedName>
    <definedName name="________________________BOR1">#REF!</definedName>
    <definedName name="________________________MAT1" localSheetId="22">#REF!</definedName>
    <definedName name="________________________MAT1">#REF!</definedName>
    <definedName name="________________________r" localSheetId="13">#REF!</definedName>
    <definedName name="________________________r" localSheetId="14">#REF!</definedName>
    <definedName name="________________________r" localSheetId="15">#REF!</definedName>
    <definedName name="________________________r" localSheetId="16">#REF!</definedName>
    <definedName name="________________________r" localSheetId="17">#REF!</definedName>
    <definedName name="________________________r" localSheetId="18">#REF!</definedName>
    <definedName name="________________________r" localSheetId="20">#REF!</definedName>
    <definedName name="________________________r" localSheetId="21">#REF!</definedName>
    <definedName name="________________________r" localSheetId="7">#REF!</definedName>
    <definedName name="________________________r" localSheetId="3">#REF!</definedName>
    <definedName name="________________________r" localSheetId="11">#REF!</definedName>
    <definedName name="________________________r">#REF!</definedName>
    <definedName name="_______________________BOR1">#REF!</definedName>
    <definedName name="_______________________MAT1" localSheetId="22">#REF!</definedName>
    <definedName name="_______________________MAT1">#REF!</definedName>
    <definedName name="_______________________r" localSheetId="13">#REF!</definedName>
    <definedName name="_______________________r" localSheetId="14">#REF!</definedName>
    <definedName name="_______________________r" localSheetId="15">#REF!</definedName>
    <definedName name="_______________________r" localSheetId="16">#REF!</definedName>
    <definedName name="_______________________r" localSheetId="17">#REF!</definedName>
    <definedName name="_______________________r" localSheetId="18">#REF!</definedName>
    <definedName name="_______________________r" localSheetId="20">#REF!</definedName>
    <definedName name="_______________________r" localSheetId="21">#REF!</definedName>
    <definedName name="_______________________r" localSheetId="7">#REF!</definedName>
    <definedName name="_______________________r" localSheetId="3">#REF!</definedName>
    <definedName name="_______________________r" localSheetId="11">#REF!</definedName>
    <definedName name="_______________________r">#REF!</definedName>
    <definedName name="______________________BOR1">#REF!</definedName>
    <definedName name="______________________MAT1" localSheetId="22">#REF!</definedName>
    <definedName name="______________________MAT1">#REF!</definedName>
    <definedName name="______________________r" localSheetId="13">#REF!</definedName>
    <definedName name="______________________r" localSheetId="14">#REF!</definedName>
    <definedName name="______________________r" localSheetId="15">#REF!</definedName>
    <definedName name="______________________r" localSheetId="16">#REF!</definedName>
    <definedName name="______________________r" localSheetId="17">#REF!</definedName>
    <definedName name="______________________r" localSheetId="18">#REF!</definedName>
    <definedName name="______________________r" localSheetId="20">#REF!</definedName>
    <definedName name="______________________r" localSheetId="21">#REF!</definedName>
    <definedName name="______________________r" localSheetId="7">#REF!</definedName>
    <definedName name="______________________r" localSheetId="3">#REF!</definedName>
    <definedName name="______________________r" localSheetId="11">#REF!</definedName>
    <definedName name="______________________r">#REF!</definedName>
    <definedName name="_____________________BOR1">#REF!</definedName>
    <definedName name="_____________________MAT1" localSheetId="22">#REF!</definedName>
    <definedName name="_____________________MAT1">#REF!</definedName>
    <definedName name="_____________________r" localSheetId="13">#REF!</definedName>
    <definedName name="_____________________r" localSheetId="14">#REF!</definedName>
    <definedName name="_____________________r" localSheetId="15">#REF!</definedName>
    <definedName name="_____________________r" localSheetId="16">#REF!</definedName>
    <definedName name="_____________________r" localSheetId="17">#REF!</definedName>
    <definedName name="_____________________r" localSheetId="18">#REF!</definedName>
    <definedName name="_____________________r" localSheetId="20">#REF!</definedName>
    <definedName name="_____________________r" localSheetId="21">#REF!</definedName>
    <definedName name="_____________________r" localSheetId="7">#REF!</definedName>
    <definedName name="_____________________r" localSheetId="3">#REF!</definedName>
    <definedName name="_____________________r" localSheetId="11">#REF!</definedName>
    <definedName name="_____________________r">#REF!</definedName>
    <definedName name="____________________BOR1">#REF!</definedName>
    <definedName name="____________________MAT1" localSheetId="22">#REF!</definedName>
    <definedName name="____________________MAT1">#REF!</definedName>
    <definedName name="____________________r" localSheetId="13">#REF!</definedName>
    <definedName name="____________________r" localSheetId="14">#REF!</definedName>
    <definedName name="____________________r" localSheetId="15">#REF!</definedName>
    <definedName name="____________________r" localSheetId="16">#REF!</definedName>
    <definedName name="____________________r" localSheetId="17">#REF!</definedName>
    <definedName name="____________________r" localSheetId="18">#REF!</definedName>
    <definedName name="____________________r" localSheetId="20">#REF!</definedName>
    <definedName name="____________________r" localSheetId="21">#REF!</definedName>
    <definedName name="____________________r" localSheetId="7">#REF!</definedName>
    <definedName name="____________________r" localSheetId="3">#REF!</definedName>
    <definedName name="____________________r" localSheetId="11">#REF!</definedName>
    <definedName name="____________________r">#REF!</definedName>
    <definedName name="___________________BOR1">#REF!</definedName>
    <definedName name="___________________MAT1" localSheetId="22">#REF!</definedName>
    <definedName name="___________________MAT1">#REF!</definedName>
    <definedName name="___________________r" localSheetId="13">#REF!</definedName>
    <definedName name="___________________r" localSheetId="14">#REF!</definedName>
    <definedName name="___________________r" localSheetId="15">#REF!</definedName>
    <definedName name="___________________r" localSheetId="16">#REF!</definedName>
    <definedName name="___________________r" localSheetId="17">#REF!</definedName>
    <definedName name="___________________r" localSheetId="18">#REF!</definedName>
    <definedName name="___________________r" localSheetId="20">#REF!</definedName>
    <definedName name="___________________r" localSheetId="21">#REF!</definedName>
    <definedName name="___________________r" localSheetId="7">#REF!</definedName>
    <definedName name="___________________r" localSheetId="3">#REF!</definedName>
    <definedName name="___________________r" localSheetId="11">#REF!</definedName>
    <definedName name="___________________r">#REF!</definedName>
    <definedName name="__________________BOR1" localSheetId="13">#REF!</definedName>
    <definedName name="__________________BOR1" localSheetId="14">#REF!</definedName>
    <definedName name="__________________BOR1" localSheetId="15">#REF!</definedName>
    <definedName name="__________________BOR1" localSheetId="16">#REF!</definedName>
    <definedName name="__________________BOR1" localSheetId="17">#REF!</definedName>
    <definedName name="__________________BOR1" localSheetId="18">#REF!</definedName>
    <definedName name="__________________BOR1" localSheetId="20">#REF!</definedName>
    <definedName name="__________________BOR1" localSheetId="21">#REF!</definedName>
    <definedName name="__________________BOR1" localSheetId="3">#REF!</definedName>
    <definedName name="__________________BOR1" localSheetId="11">#REF!</definedName>
    <definedName name="__________________BOR1">#REF!</definedName>
    <definedName name="__________________MAT1" localSheetId="13">#REF!</definedName>
    <definedName name="__________________MAT1" localSheetId="14">#REF!</definedName>
    <definedName name="__________________MAT1" localSheetId="15">#REF!</definedName>
    <definedName name="__________________MAT1" localSheetId="16">#REF!</definedName>
    <definedName name="__________________MAT1" localSheetId="17">#REF!</definedName>
    <definedName name="__________________MAT1" localSheetId="18">#REF!</definedName>
    <definedName name="__________________MAT1" localSheetId="20">#REF!</definedName>
    <definedName name="__________________MAT1" localSheetId="21">#REF!</definedName>
    <definedName name="__________________MAT1" localSheetId="3">#REF!</definedName>
    <definedName name="__________________MAT1" localSheetId="11">#REF!</definedName>
    <definedName name="__________________MAT1">#REF!</definedName>
    <definedName name="__________________r" localSheetId="13">#REF!</definedName>
    <definedName name="__________________r" localSheetId="14">#REF!</definedName>
    <definedName name="__________________r" localSheetId="15">#REF!</definedName>
    <definedName name="__________________r" localSheetId="16">#REF!</definedName>
    <definedName name="__________________r" localSheetId="17">#REF!</definedName>
    <definedName name="__________________r" localSheetId="18">#REF!</definedName>
    <definedName name="__________________r" localSheetId="20">#REF!</definedName>
    <definedName name="__________________r" localSheetId="21">#REF!</definedName>
    <definedName name="__________________r" localSheetId="7">#REF!</definedName>
    <definedName name="__________________r" localSheetId="3">#REF!</definedName>
    <definedName name="__________________r" localSheetId="11">#REF!</definedName>
    <definedName name="__________________r">#REF!</definedName>
    <definedName name="_________________BOR1" localSheetId="13">#REF!</definedName>
    <definedName name="_________________BOR1" localSheetId="14">#REF!</definedName>
    <definedName name="_________________BOR1" localSheetId="15">#REF!</definedName>
    <definedName name="_________________BOR1" localSheetId="16">#REF!</definedName>
    <definedName name="_________________BOR1" localSheetId="17">#REF!</definedName>
    <definedName name="_________________BOR1" localSheetId="18">#REF!</definedName>
    <definedName name="_________________BOR1" localSheetId="20">#REF!</definedName>
    <definedName name="_________________BOR1" localSheetId="21">#REF!</definedName>
    <definedName name="_________________BOR1" localSheetId="3">#REF!</definedName>
    <definedName name="_________________BOR1" localSheetId="11">#REF!</definedName>
    <definedName name="_________________BOR1">#REF!</definedName>
    <definedName name="_________________MAT1" localSheetId="13">#REF!</definedName>
    <definedName name="_________________MAT1" localSheetId="14">#REF!</definedName>
    <definedName name="_________________MAT1" localSheetId="15">#REF!</definedName>
    <definedName name="_________________MAT1" localSheetId="16">#REF!</definedName>
    <definedName name="_________________MAT1" localSheetId="17">#REF!</definedName>
    <definedName name="_________________MAT1" localSheetId="18">#REF!</definedName>
    <definedName name="_________________MAT1" localSheetId="20">#REF!</definedName>
    <definedName name="_________________MAT1" localSheetId="21">#REF!</definedName>
    <definedName name="_________________MAT1" localSheetId="3">#REF!</definedName>
    <definedName name="_________________MAT1" localSheetId="11">#REF!</definedName>
    <definedName name="_________________MAT1">#REF!</definedName>
    <definedName name="_________________r" localSheetId="13">#REF!</definedName>
    <definedName name="_________________r" localSheetId="14">#REF!</definedName>
    <definedName name="_________________r" localSheetId="15">#REF!</definedName>
    <definedName name="_________________r" localSheetId="16">#REF!</definedName>
    <definedName name="_________________r" localSheetId="17">#REF!</definedName>
    <definedName name="_________________r" localSheetId="18">#REF!</definedName>
    <definedName name="_________________r" localSheetId="20">#REF!</definedName>
    <definedName name="_________________r" localSheetId="21">#REF!</definedName>
    <definedName name="_________________r" localSheetId="7">#REF!</definedName>
    <definedName name="_________________r" localSheetId="3">#REF!</definedName>
    <definedName name="_________________r" localSheetId="11">#REF!</definedName>
    <definedName name="_________________r">#REF!</definedName>
    <definedName name="________________BOR1" localSheetId="13">#REF!</definedName>
    <definedName name="________________BOR1" localSheetId="14">#REF!</definedName>
    <definedName name="________________BOR1" localSheetId="15">#REF!</definedName>
    <definedName name="________________BOR1" localSheetId="16">#REF!</definedName>
    <definedName name="________________BOR1" localSheetId="17">#REF!</definedName>
    <definedName name="________________BOR1" localSheetId="18">#REF!</definedName>
    <definedName name="________________BOR1" localSheetId="20">#REF!</definedName>
    <definedName name="________________BOR1" localSheetId="21">#REF!</definedName>
    <definedName name="________________BOR1" localSheetId="3">#REF!</definedName>
    <definedName name="________________BOR1" localSheetId="11">#REF!</definedName>
    <definedName name="________________BOR1">#REF!</definedName>
    <definedName name="________________MAT1" localSheetId="13">#REF!</definedName>
    <definedName name="________________MAT1" localSheetId="14">#REF!</definedName>
    <definedName name="________________MAT1" localSheetId="15">#REF!</definedName>
    <definedName name="________________MAT1" localSheetId="16">#REF!</definedName>
    <definedName name="________________MAT1" localSheetId="17">#REF!</definedName>
    <definedName name="________________MAT1" localSheetId="18">#REF!</definedName>
    <definedName name="________________MAT1" localSheetId="20">#REF!</definedName>
    <definedName name="________________MAT1" localSheetId="21">#REF!</definedName>
    <definedName name="________________MAT1" localSheetId="3">#REF!</definedName>
    <definedName name="________________MAT1" localSheetId="11">#REF!</definedName>
    <definedName name="________________MAT1">#REF!</definedName>
    <definedName name="________________r" localSheetId="13">#REF!</definedName>
    <definedName name="________________r" localSheetId="14">#REF!</definedName>
    <definedName name="________________r" localSheetId="15">#REF!</definedName>
    <definedName name="________________r" localSheetId="16">#REF!</definedName>
    <definedName name="________________r" localSheetId="17">#REF!</definedName>
    <definedName name="________________r" localSheetId="18">#REF!</definedName>
    <definedName name="________________r" localSheetId="20">#REF!</definedName>
    <definedName name="________________r" localSheetId="21">#REF!</definedName>
    <definedName name="________________r" localSheetId="7">#REF!</definedName>
    <definedName name="________________r" localSheetId="3">#REF!</definedName>
    <definedName name="________________r" localSheetId="11">#REF!</definedName>
    <definedName name="________________r">#REF!</definedName>
    <definedName name="_______________BOR1" localSheetId="13">#REF!</definedName>
    <definedName name="_______________BOR1" localSheetId="14">#REF!</definedName>
    <definedName name="_______________BOR1" localSheetId="15">#REF!</definedName>
    <definedName name="_______________BOR1" localSheetId="16">#REF!</definedName>
    <definedName name="_______________BOR1" localSheetId="17">#REF!</definedName>
    <definedName name="_______________BOR1" localSheetId="18">#REF!</definedName>
    <definedName name="_______________BOR1" localSheetId="20">#REF!</definedName>
    <definedName name="_______________BOR1" localSheetId="21">#REF!</definedName>
    <definedName name="_______________BOR1" localSheetId="3">#REF!</definedName>
    <definedName name="_______________BOR1" localSheetId="11">#REF!</definedName>
    <definedName name="_______________BOR1">#REF!</definedName>
    <definedName name="_______________MAT1" localSheetId="13">#REF!</definedName>
    <definedName name="_______________MAT1" localSheetId="14">#REF!</definedName>
    <definedName name="_______________MAT1" localSheetId="15">#REF!</definedName>
    <definedName name="_______________MAT1" localSheetId="16">#REF!</definedName>
    <definedName name="_______________MAT1" localSheetId="17">#REF!</definedName>
    <definedName name="_______________MAT1" localSheetId="18">#REF!</definedName>
    <definedName name="_______________MAT1" localSheetId="20">#REF!</definedName>
    <definedName name="_______________MAT1" localSheetId="21">#REF!</definedName>
    <definedName name="_______________MAT1" localSheetId="3">#REF!</definedName>
    <definedName name="_______________MAT1" localSheetId="11">#REF!</definedName>
    <definedName name="_______________MAT1">#REF!</definedName>
    <definedName name="_______________r" localSheetId="13">#REF!</definedName>
    <definedName name="_______________r" localSheetId="14">#REF!</definedName>
    <definedName name="_______________r" localSheetId="15">#REF!</definedName>
    <definedName name="_______________r" localSheetId="16">#REF!</definedName>
    <definedName name="_______________r" localSheetId="17">#REF!</definedName>
    <definedName name="_______________r" localSheetId="18">#REF!</definedName>
    <definedName name="_______________r" localSheetId="20">#REF!</definedName>
    <definedName name="_______________r" localSheetId="21">#REF!</definedName>
    <definedName name="_______________r" localSheetId="7">#REF!</definedName>
    <definedName name="_______________r" localSheetId="3">#REF!</definedName>
    <definedName name="_______________r" localSheetId="11">#REF!</definedName>
    <definedName name="_______________r">#REF!</definedName>
    <definedName name="______________BOR1">#REF!</definedName>
    <definedName name="______________MAT1" localSheetId="13">#REF!</definedName>
    <definedName name="______________MAT1" localSheetId="14">#REF!</definedName>
    <definedName name="______________MAT1" localSheetId="15">#REF!</definedName>
    <definedName name="______________MAT1" localSheetId="16">#REF!</definedName>
    <definedName name="______________MAT1" localSheetId="17">#REF!</definedName>
    <definedName name="______________MAT1" localSheetId="18">#REF!</definedName>
    <definedName name="______________MAT1" localSheetId="20">#REF!</definedName>
    <definedName name="______________MAT1" localSheetId="21">#REF!</definedName>
    <definedName name="______________MAT1" localSheetId="7">#REF!</definedName>
    <definedName name="______________MAT1" localSheetId="3">#REF!</definedName>
    <definedName name="______________MAT1" localSheetId="11">#REF!</definedName>
    <definedName name="______________MAT1">#REF!</definedName>
    <definedName name="______________r" localSheetId="13">#REF!</definedName>
    <definedName name="______________r" localSheetId="14">#REF!</definedName>
    <definedName name="______________r" localSheetId="15">#REF!</definedName>
    <definedName name="______________r" localSheetId="16">#REF!</definedName>
    <definedName name="______________r" localSheetId="17">#REF!</definedName>
    <definedName name="______________r" localSheetId="18">#REF!</definedName>
    <definedName name="______________r" localSheetId="20">#REF!</definedName>
    <definedName name="______________r" localSheetId="21">#REF!</definedName>
    <definedName name="______________r" localSheetId="7">#REF!</definedName>
    <definedName name="______________r" localSheetId="3">#REF!</definedName>
    <definedName name="______________r" localSheetId="11">#REF!</definedName>
    <definedName name="______________r">#REF!</definedName>
    <definedName name="_____________BOR1" localSheetId="13">#REF!</definedName>
    <definedName name="_____________BOR1" localSheetId="14">#REF!</definedName>
    <definedName name="_____________BOR1" localSheetId="15">#REF!</definedName>
    <definedName name="_____________BOR1" localSheetId="16">#REF!</definedName>
    <definedName name="_____________BOR1" localSheetId="17">#REF!</definedName>
    <definedName name="_____________BOR1" localSheetId="18">#REF!</definedName>
    <definedName name="_____________BOR1" localSheetId="20">#REF!</definedName>
    <definedName name="_____________BOR1" localSheetId="21">#REF!</definedName>
    <definedName name="_____________BOR1" localSheetId="7">#REF!</definedName>
    <definedName name="_____________BOR1" localSheetId="3">#REF!</definedName>
    <definedName name="_____________BOR1" localSheetId="11">#REF!</definedName>
    <definedName name="_____________BOR1">#REF!</definedName>
    <definedName name="_____________MAT1" localSheetId="22">#REF!</definedName>
    <definedName name="_____________MAT1">#REF!</definedName>
    <definedName name="_____________r" localSheetId="13">#REF!</definedName>
    <definedName name="_____________r" localSheetId="14">#REF!</definedName>
    <definedName name="_____________r" localSheetId="15">#REF!</definedName>
    <definedName name="_____________r" localSheetId="16">#REF!</definedName>
    <definedName name="_____________r" localSheetId="17">#REF!</definedName>
    <definedName name="_____________r" localSheetId="18">#REF!</definedName>
    <definedName name="_____________r" localSheetId="20">#REF!</definedName>
    <definedName name="_____________r" localSheetId="21">#REF!</definedName>
    <definedName name="_____________r" localSheetId="7">#REF!</definedName>
    <definedName name="_____________r" localSheetId="3">#REF!</definedName>
    <definedName name="_____________r" localSheetId="11">#REF!</definedName>
    <definedName name="_____________r">#REF!</definedName>
    <definedName name="____________BOR1" localSheetId="13">#REF!</definedName>
    <definedName name="____________BOR1" localSheetId="14">#REF!</definedName>
    <definedName name="____________BOR1" localSheetId="15">#REF!</definedName>
    <definedName name="____________BOR1" localSheetId="16">#REF!</definedName>
    <definedName name="____________BOR1" localSheetId="17">#REF!</definedName>
    <definedName name="____________BOR1" localSheetId="18">#REF!</definedName>
    <definedName name="____________BOR1" localSheetId="20">#REF!</definedName>
    <definedName name="____________BOR1" localSheetId="21">#REF!</definedName>
    <definedName name="____________BOR1" localSheetId="7">#REF!</definedName>
    <definedName name="____________BOR1" localSheetId="3">#REF!</definedName>
    <definedName name="____________BOR1" localSheetId="11">#REF!</definedName>
    <definedName name="____________BOR1">#REF!</definedName>
    <definedName name="____________MAT1" localSheetId="13">#REF!</definedName>
    <definedName name="____________MAT1" localSheetId="14">#REF!</definedName>
    <definedName name="____________MAT1" localSheetId="15">#REF!</definedName>
    <definedName name="____________MAT1" localSheetId="16">#REF!</definedName>
    <definedName name="____________MAT1" localSheetId="17">#REF!</definedName>
    <definedName name="____________MAT1" localSheetId="18">#REF!</definedName>
    <definedName name="____________MAT1" localSheetId="20">#REF!</definedName>
    <definedName name="____________MAT1" localSheetId="21">#REF!</definedName>
    <definedName name="____________MAT1" localSheetId="7">#REF!</definedName>
    <definedName name="____________MAT1" localSheetId="3">#REF!</definedName>
    <definedName name="____________MAT1" localSheetId="11">#REF!</definedName>
    <definedName name="____________MAT1">#REF!</definedName>
    <definedName name="____________r" localSheetId="13">#REF!</definedName>
    <definedName name="____________r" localSheetId="14">#REF!</definedName>
    <definedName name="____________r" localSheetId="15">#REF!</definedName>
    <definedName name="____________r" localSheetId="16">#REF!</definedName>
    <definedName name="____________r" localSheetId="17">#REF!</definedName>
    <definedName name="____________r" localSheetId="18">#REF!</definedName>
    <definedName name="____________r" localSheetId="20">#REF!</definedName>
    <definedName name="____________r" localSheetId="21">#REF!</definedName>
    <definedName name="____________r" localSheetId="7">#REF!</definedName>
    <definedName name="____________r" localSheetId="3">#REF!</definedName>
    <definedName name="____________r" localSheetId="11">#REF!</definedName>
    <definedName name="____________r">#REF!</definedName>
    <definedName name="___________BOR1" localSheetId="13">#REF!</definedName>
    <definedName name="___________BOR1" localSheetId="14">#REF!</definedName>
    <definedName name="___________BOR1" localSheetId="15">#REF!</definedName>
    <definedName name="___________BOR1" localSheetId="16">#REF!</definedName>
    <definedName name="___________BOR1" localSheetId="17">#REF!</definedName>
    <definedName name="___________BOR1" localSheetId="18">#REF!</definedName>
    <definedName name="___________BOR1" localSheetId="20">#REF!</definedName>
    <definedName name="___________BOR1" localSheetId="21">#REF!</definedName>
    <definedName name="___________BOR1" localSheetId="7">#REF!</definedName>
    <definedName name="___________BOR1" localSheetId="3">#REF!</definedName>
    <definedName name="___________BOR1" localSheetId="11">#REF!</definedName>
    <definedName name="___________BOR1">#REF!</definedName>
    <definedName name="___________MAT1" localSheetId="13">#REF!</definedName>
    <definedName name="___________MAT1" localSheetId="14">#REF!</definedName>
    <definedName name="___________MAT1" localSheetId="15">#REF!</definedName>
    <definedName name="___________MAT1" localSheetId="16">#REF!</definedName>
    <definedName name="___________MAT1" localSheetId="17">#REF!</definedName>
    <definedName name="___________MAT1" localSheetId="18">#REF!</definedName>
    <definedName name="___________MAT1" localSheetId="20">#REF!</definedName>
    <definedName name="___________MAT1" localSheetId="21">#REF!</definedName>
    <definedName name="___________MAT1" localSheetId="7">#REF!</definedName>
    <definedName name="___________MAT1" localSheetId="3">#REF!</definedName>
    <definedName name="___________MAT1" localSheetId="11">#REF!</definedName>
    <definedName name="___________MAT1">#REF!</definedName>
    <definedName name="___________r" localSheetId="13">#REF!</definedName>
    <definedName name="___________r" localSheetId="14">#REF!</definedName>
    <definedName name="___________r" localSheetId="15">#REF!</definedName>
    <definedName name="___________r" localSheetId="16">#REF!</definedName>
    <definedName name="___________r" localSheetId="17">#REF!</definedName>
    <definedName name="___________r" localSheetId="18">#REF!</definedName>
    <definedName name="___________r" localSheetId="20">#REF!</definedName>
    <definedName name="___________r" localSheetId="21">#REF!</definedName>
    <definedName name="___________r" localSheetId="7">#REF!</definedName>
    <definedName name="___________r" localSheetId="3">#REF!</definedName>
    <definedName name="___________r" localSheetId="11">#REF!</definedName>
    <definedName name="___________r">#REF!</definedName>
    <definedName name="__________BOR1" localSheetId="13">#REF!</definedName>
    <definedName name="__________BOR1" localSheetId="14">#REF!</definedName>
    <definedName name="__________BOR1" localSheetId="15">#REF!</definedName>
    <definedName name="__________BOR1" localSheetId="16">#REF!</definedName>
    <definedName name="__________BOR1" localSheetId="17">#REF!</definedName>
    <definedName name="__________BOR1" localSheetId="18">#REF!</definedName>
    <definedName name="__________BOR1" localSheetId="20">#REF!</definedName>
    <definedName name="__________BOR1" localSheetId="21">#REF!</definedName>
    <definedName name="__________BOR1" localSheetId="7">#REF!</definedName>
    <definedName name="__________BOR1" localSheetId="3">#REF!</definedName>
    <definedName name="__________BOR1" localSheetId="11">#REF!</definedName>
    <definedName name="__________BOR1">#REF!</definedName>
    <definedName name="__________MAT1" localSheetId="13">#REF!</definedName>
    <definedName name="__________MAT1" localSheetId="14">#REF!</definedName>
    <definedName name="__________MAT1" localSheetId="15">#REF!</definedName>
    <definedName name="__________MAT1" localSheetId="16">#REF!</definedName>
    <definedName name="__________MAT1" localSheetId="17">#REF!</definedName>
    <definedName name="__________MAT1" localSheetId="18">#REF!</definedName>
    <definedName name="__________MAT1" localSheetId="20">#REF!</definedName>
    <definedName name="__________MAT1" localSheetId="21">#REF!</definedName>
    <definedName name="__________MAT1" localSheetId="7">#REF!</definedName>
    <definedName name="__________MAT1" localSheetId="3">#REF!</definedName>
    <definedName name="__________MAT1" localSheetId="11">#REF!</definedName>
    <definedName name="__________MAT1">#REF!</definedName>
    <definedName name="__________r" localSheetId="13">#REF!</definedName>
    <definedName name="__________r" localSheetId="14">#REF!</definedName>
    <definedName name="__________r" localSheetId="15">#REF!</definedName>
    <definedName name="__________r" localSheetId="16">#REF!</definedName>
    <definedName name="__________r" localSheetId="17">#REF!</definedName>
    <definedName name="__________r" localSheetId="18">#REF!</definedName>
    <definedName name="__________r" localSheetId="20">#REF!</definedName>
    <definedName name="__________r" localSheetId="21">#REF!</definedName>
    <definedName name="__________r" localSheetId="7">#REF!</definedName>
    <definedName name="__________r" localSheetId="3">#REF!</definedName>
    <definedName name="__________r" localSheetId="11">#REF!</definedName>
    <definedName name="__________r">#REF!</definedName>
    <definedName name="_________BOR1" localSheetId="13">#REF!</definedName>
    <definedName name="_________BOR1" localSheetId="14">#REF!</definedName>
    <definedName name="_________BOR1" localSheetId="15">#REF!</definedName>
    <definedName name="_________BOR1" localSheetId="16">#REF!</definedName>
    <definedName name="_________BOR1" localSheetId="17">#REF!</definedName>
    <definedName name="_________BOR1" localSheetId="18">#REF!</definedName>
    <definedName name="_________BOR1" localSheetId="20">#REF!</definedName>
    <definedName name="_________BOR1" localSheetId="21">#REF!</definedName>
    <definedName name="_________BOR1" localSheetId="7">#REF!</definedName>
    <definedName name="_________BOR1" localSheetId="3">#REF!</definedName>
    <definedName name="_________BOR1" localSheetId="11">#REF!</definedName>
    <definedName name="_________BOR1">#REF!</definedName>
    <definedName name="_________MAT1" localSheetId="13">#REF!</definedName>
    <definedName name="_________MAT1" localSheetId="14">#REF!</definedName>
    <definedName name="_________MAT1" localSheetId="15">#REF!</definedName>
    <definedName name="_________MAT1" localSheetId="16">#REF!</definedName>
    <definedName name="_________MAT1" localSheetId="17">#REF!</definedName>
    <definedName name="_________MAT1" localSheetId="18">#REF!</definedName>
    <definedName name="_________MAT1" localSheetId="20">#REF!</definedName>
    <definedName name="_________MAT1" localSheetId="21">#REF!</definedName>
    <definedName name="_________MAT1" localSheetId="7">#REF!</definedName>
    <definedName name="_________MAT1" localSheetId="3">#REF!</definedName>
    <definedName name="_________MAT1" localSheetId="11">#REF!</definedName>
    <definedName name="_________MAT1">#REF!</definedName>
    <definedName name="_________r" localSheetId="13">#REF!</definedName>
    <definedName name="_________r" localSheetId="14">#REF!</definedName>
    <definedName name="_________r" localSheetId="15">#REF!</definedName>
    <definedName name="_________r" localSheetId="16">#REF!</definedName>
    <definedName name="_________r" localSheetId="17">#REF!</definedName>
    <definedName name="_________r" localSheetId="18">#REF!</definedName>
    <definedName name="_________r" localSheetId="20">#REF!</definedName>
    <definedName name="_________r" localSheetId="21">#REF!</definedName>
    <definedName name="_________r" localSheetId="7">#REF!</definedName>
    <definedName name="_________r" localSheetId="3">#REF!</definedName>
    <definedName name="_________r" localSheetId="11">#REF!</definedName>
    <definedName name="_________r">#REF!</definedName>
    <definedName name="________BOR1" localSheetId="13">#REF!</definedName>
    <definedName name="________BOR1" localSheetId="14">#REF!</definedName>
    <definedName name="________BOR1" localSheetId="15">#REF!</definedName>
    <definedName name="________BOR1" localSheetId="16">#REF!</definedName>
    <definedName name="________BOR1" localSheetId="17">#REF!</definedName>
    <definedName name="________BOR1" localSheetId="18">#REF!</definedName>
    <definedName name="________BOR1" localSheetId="20">#REF!</definedName>
    <definedName name="________BOR1" localSheetId="21">#REF!</definedName>
    <definedName name="________BOR1" localSheetId="7">#REF!</definedName>
    <definedName name="________BOR1" localSheetId="3">#REF!</definedName>
    <definedName name="________BOR1" localSheetId="11">#REF!</definedName>
    <definedName name="________BOR1">#REF!</definedName>
    <definedName name="________MAT1" localSheetId="13">#REF!</definedName>
    <definedName name="________MAT1" localSheetId="14">#REF!</definedName>
    <definedName name="________MAT1" localSheetId="15">#REF!</definedName>
    <definedName name="________MAT1" localSheetId="16">#REF!</definedName>
    <definedName name="________MAT1" localSheetId="17">#REF!</definedName>
    <definedName name="________MAT1" localSheetId="18">#REF!</definedName>
    <definedName name="________MAT1" localSheetId="20">#REF!</definedName>
    <definedName name="________MAT1" localSheetId="21">#REF!</definedName>
    <definedName name="________MAT1" localSheetId="7">#REF!</definedName>
    <definedName name="________MAT1" localSheetId="3">#REF!</definedName>
    <definedName name="________MAT1" localSheetId="11">#REF!</definedName>
    <definedName name="________MAT1">#REF!</definedName>
    <definedName name="________r" localSheetId="13">#REF!</definedName>
    <definedName name="________r" localSheetId="14">#REF!</definedName>
    <definedName name="________r" localSheetId="15">#REF!</definedName>
    <definedName name="________r" localSheetId="16">#REF!</definedName>
    <definedName name="________r" localSheetId="17">#REF!</definedName>
    <definedName name="________r" localSheetId="18">#REF!</definedName>
    <definedName name="________r" localSheetId="20">#REF!</definedName>
    <definedName name="________r" localSheetId="21">#REF!</definedName>
    <definedName name="________r" localSheetId="7">#REF!</definedName>
    <definedName name="________r" localSheetId="3">#REF!</definedName>
    <definedName name="________r" localSheetId="11">#REF!</definedName>
    <definedName name="________r">#REF!</definedName>
    <definedName name="_______BOR1" localSheetId="13">#REF!</definedName>
    <definedName name="_______BOR1" localSheetId="14">#REF!</definedName>
    <definedName name="_______BOR1" localSheetId="15">#REF!</definedName>
    <definedName name="_______BOR1" localSheetId="16">#REF!</definedName>
    <definedName name="_______BOR1" localSheetId="17">#REF!</definedName>
    <definedName name="_______BOR1" localSheetId="18">#REF!</definedName>
    <definedName name="_______BOR1" localSheetId="20">#REF!</definedName>
    <definedName name="_______BOR1" localSheetId="21">#REF!</definedName>
    <definedName name="_______BOR1" localSheetId="7">#REF!</definedName>
    <definedName name="_______BOR1" localSheetId="3">#REF!</definedName>
    <definedName name="_______BOR1" localSheetId="11">#REF!</definedName>
    <definedName name="_______BOR1">#REF!</definedName>
    <definedName name="_______MAT1" localSheetId="13">#REF!</definedName>
    <definedName name="_______MAT1" localSheetId="14">#REF!</definedName>
    <definedName name="_______MAT1" localSheetId="15">#REF!</definedName>
    <definedName name="_______MAT1" localSheetId="16">#REF!</definedName>
    <definedName name="_______MAT1" localSheetId="17">#REF!</definedName>
    <definedName name="_______MAT1" localSheetId="18">#REF!</definedName>
    <definedName name="_______MAT1" localSheetId="20">#REF!</definedName>
    <definedName name="_______MAT1" localSheetId="21">#REF!</definedName>
    <definedName name="_______MAT1" localSheetId="7">#REF!</definedName>
    <definedName name="_______MAT1" localSheetId="3">#REF!</definedName>
    <definedName name="_______MAT1" localSheetId="11">#REF!</definedName>
    <definedName name="_______MAT1">#REF!</definedName>
    <definedName name="_______MDO1" localSheetId="13">#REF!</definedName>
    <definedName name="_______MDO1" localSheetId="14">#REF!</definedName>
    <definedName name="_______MDO1" localSheetId="15">#REF!</definedName>
    <definedName name="_______MDO1" localSheetId="16">#REF!</definedName>
    <definedName name="_______MDO1" localSheetId="17">#REF!</definedName>
    <definedName name="_______MDO1" localSheetId="18">#REF!</definedName>
    <definedName name="_______MDO1" localSheetId="20">#REF!</definedName>
    <definedName name="_______MDO1" localSheetId="21">#REF!</definedName>
    <definedName name="_______MDO1" localSheetId="3">#REF!</definedName>
    <definedName name="_______MDO1" localSheetId="11">#REF!</definedName>
    <definedName name="_______MDO1">#REF!</definedName>
    <definedName name="_______MDO2" localSheetId="13">#REF!</definedName>
    <definedName name="_______MDO2" localSheetId="14">#REF!</definedName>
    <definedName name="_______MDO2" localSheetId="15">#REF!</definedName>
    <definedName name="_______MDO2" localSheetId="16">#REF!</definedName>
    <definedName name="_______MDO2" localSheetId="17">#REF!</definedName>
    <definedName name="_______MDO2" localSheetId="18">#REF!</definedName>
    <definedName name="_______MDO2" localSheetId="20">#REF!</definedName>
    <definedName name="_______MDO2" localSheetId="21">#REF!</definedName>
    <definedName name="_______MDO2" localSheetId="3">#REF!</definedName>
    <definedName name="_______MDO2" localSheetId="11">#REF!</definedName>
    <definedName name="_______MDO2">#REF!</definedName>
    <definedName name="_______OR14">#REF!</definedName>
    <definedName name="_______OR15">#REF!</definedName>
    <definedName name="_______OR16">#REF!</definedName>
    <definedName name="_______OR17">#REF!</definedName>
    <definedName name="_______OR18">#REF!</definedName>
    <definedName name="_______OR19">#REF!</definedName>
    <definedName name="_______OR2">#REF!</definedName>
    <definedName name="_______OR3">#REF!</definedName>
    <definedName name="_______OR4">#REF!</definedName>
    <definedName name="_______OR5">#REF!</definedName>
    <definedName name="_______OR6">#REF!</definedName>
    <definedName name="_______OR7">#REF!</definedName>
    <definedName name="_______OR8">#REF!</definedName>
    <definedName name="_______OR9">#REF!</definedName>
    <definedName name="_______R" localSheetId="13">#REF!</definedName>
    <definedName name="_______R" localSheetId="14">#REF!</definedName>
    <definedName name="_______R" localSheetId="15">#REF!</definedName>
    <definedName name="_______R" localSheetId="16">#REF!</definedName>
    <definedName name="_______R" localSheetId="17">#REF!</definedName>
    <definedName name="_______R" localSheetId="18">#REF!</definedName>
    <definedName name="_______R" localSheetId="20">#REF!</definedName>
    <definedName name="_______R" localSheetId="21">#REF!</definedName>
    <definedName name="_______R" localSheetId="22">#REF!</definedName>
    <definedName name="_______r" localSheetId="7">#REF!</definedName>
    <definedName name="_______R" localSheetId="3">#REF!</definedName>
    <definedName name="_______R" localSheetId="11">#REF!</definedName>
    <definedName name="_______r">#REF!</definedName>
    <definedName name="______BOR1" localSheetId="13">#REF!</definedName>
    <definedName name="______BOR1" localSheetId="14">#REF!</definedName>
    <definedName name="______BOR1" localSheetId="15">#REF!</definedName>
    <definedName name="______BOR1" localSheetId="16">#REF!</definedName>
    <definedName name="______BOR1" localSheetId="17">#REF!</definedName>
    <definedName name="______BOR1" localSheetId="18">#REF!</definedName>
    <definedName name="______BOR1" localSheetId="20">#REF!</definedName>
    <definedName name="______BOR1" localSheetId="21">#REF!</definedName>
    <definedName name="______BOR1" localSheetId="22">#REF!</definedName>
    <definedName name="______BOR1" localSheetId="7">#REF!</definedName>
    <definedName name="______BOR1" localSheetId="3">#REF!</definedName>
    <definedName name="______BOR1" localSheetId="11">#REF!</definedName>
    <definedName name="______BOR1">#REF!</definedName>
    <definedName name="______MAT1" localSheetId="13">#REF!</definedName>
    <definedName name="______MAT1" localSheetId="14">#REF!</definedName>
    <definedName name="______MAT1" localSheetId="15">#REF!</definedName>
    <definedName name="______MAT1" localSheetId="16">#REF!</definedName>
    <definedName name="______MAT1" localSheetId="17">#REF!</definedName>
    <definedName name="______MAT1" localSheetId="18">#REF!</definedName>
    <definedName name="______MAT1" localSheetId="20">#REF!</definedName>
    <definedName name="______MAT1" localSheetId="21">#REF!</definedName>
    <definedName name="______MAT1" localSheetId="7">#REF!</definedName>
    <definedName name="______MAT1" localSheetId="3">#REF!</definedName>
    <definedName name="______MAT1" localSheetId="11">#REF!</definedName>
    <definedName name="______MAT1">#REF!</definedName>
    <definedName name="______MDO1" localSheetId="13">#REF!</definedName>
    <definedName name="______MDO1" localSheetId="14">#REF!</definedName>
    <definedName name="______MDO1" localSheetId="15">#REF!</definedName>
    <definedName name="______MDO1" localSheetId="16">#REF!</definedName>
    <definedName name="______MDO1" localSheetId="17">#REF!</definedName>
    <definedName name="______MDO1" localSheetId="18">#REF!</definedName>
    <definedName name="______MDO1" localSheetId="20">#REF!</definedName>
    <definedName name="______MDO1" localSheetId="21">#REF!</definedName>
    <definedName name="______MDO1" localSheetId="3">#REF!</definedName>
    <definedName name="______MDO1" localSheetId="11">#REF!</definedName>
    <definedName name="______MDO1">#REF!</definedName>
    <definedName name="______MDO2" localSheetId="13">#REF!</definedName>
    <definedName name="______MDO2" localSheetId="14">#REF!</definedName>
    <definedName name="______MDO2" localSheetId="15">#REF!</definedName>
    <definedName name="______MDO2" localSheetId="16">#REF!</definedName>
    <definedName name="______MDO2" localSheetId="17">#REF!</definedName>
    <definedName name="______MDO2" localSheetId="18">#REF!</definedName>
    <definedName name="______MDO2" localSheetId="20">#REF!</definedName>
    <definedName name="______MDO2" localSheetId="21">#REF!</definedName>
    <definedName name="______MDO2" localSheetId="3">#REF!</definedName>
    <definedName name="______MDO2" localSheetId="11">#REF!</definedName>
    <definedName name="______MDO2">#REF!</definedName>
    <definedName name="______OR14">#REF!</definedName>
    <definedName name="______OR15">#REF!</definedName>
    <definedName name="______OR16">#REF!</definedName>
    <definedName name="______OR17">#REF!</definedName>
    <definedName name="______OR18">#REF!</definedName>
    <definedName name="______OR19">#REF!</definedName>
    <definedName name="______OR2">#REF!</definedName>
    <definedName name="______OR3">#REF!</definedName>
    <definedName name="______OR4">#REF!</definedName>
    <definedName name="______OR5">#REF!</definedName>
    <definedName name="______OR6">#REF!</definedName>
    <definedName name="______OR7">#REF!</definedName>
    <definedName name="______OR8">#REF!</definedName>
    <definedName name="______OR9">#REF!</definedName>
    <definedName name="______R" localSheetId="13">#REF!</definedName>
    <definedName name="______R" localSheetId="14">#REF!</definedName>
    <definedName name="______R" localSheetId="15">#REF!</definedName>
    <definedName name="______R" localSheetId="16">#REF!</definedName>
    <definedName name="______R" localSheetId="17">#REF!</definedName>
    <definedName name="______R" localSheetId="18">#REF!</definedName>
    <definedName name="______R" localSheetId="20">#REF!</definedName>
    <definedName name="______R" localSheetId="21">#REF!</definedName>
    <definedName name="______R" localSheetId="22">#REF!</definedName>
    <definedName name="______r" localSheetId="7">#REF!</definedName>
    <definedName name="______R" localSheetId="3">#REF!</definedName>
    <definedName name="______R" localSheetId="11">#REF!</definedName>
    <definedName name="______r">#REF!</definedName>
    <definedName name="_____BOR1" localSheetId="13">#REF!</definedName>
    <definedName name="_____BOR1" localSheetId="14">#REF!</definedName>
    <definedName name="_____BOR1" localSheetId="15">#REF!</definedName>
    <definedName name="_____BOR1" localSheetId="16">#REF!</definedName>
    <definedName name="_____BOR1" localSheetId="17">#REF!</definedName>
    <definedName name="_____BOR1" localSheetId="18">#REF!</definedName>
    <definedName name="_____BOR1" localSheetId="20">#REF!</definedName>
    <definedName name="_____BOR1" localSheetId="21">#REF!</definedName>
    <definedName name="_____BOR1" localSheetId="7">#REF!</definedName>
    <definedName name="_____BOR1" localSheetId="3">#REF!</definedName>
    <definedName name="_____BOR1" localSheetId="11">#REF!</definedName>
    <definedName name="_____BOR1">#REF!</definedName>
    <definedName name="_____KM406407" localSheetId="13">#REF!</definedName>
    <definedName name="_____KM406407" localSheetId="14">#REF!</definedName>
    <definedName name="_____KM406407" localSheetId="15">#REF!</definedName>
    <definedName name="_____KM406407" localSheetId="16">#REF!</definedName>
    <definedName name="_____KM406407" localSheetId="17">#REF!</definedName>
    <definedName name="_____KM406407" localSheetId="18">#REF!</definedName>
    <definedName name="_____KM406407" localSheetId="20">#REF!</definedName>
    <definedName name="_____KM406407" localSheetId="21">#REF!</definedName>
    <definedName name="_____KM406407" localSheetId="7">#REF!</definedName>
    <definedName name="_____KM406407" localSheetId="3">#REF!</definedName>
    <definedName name="_____KM406407" localSheetId="11">#REF!</definedName>
    <definedName name="_____KM406407">#REF!</definedName>
    <definedName name="_____MAT1" localSheetId="13">#REF!</definedName>
    <definedName name="_____MAT1" localSheetId="14">#REF!</definedName>
    <definedName name="_____MAT1" localSheetId="15">#REF!</definedName>
    <definedName name="_____MAT1" localSheetId="16">#REF!</definedName>
    <definedName name="_____MAT1" localSheetId="17">#REF!</definedName>
    <definedName name="_____MAT1" localSheetId="18">#REF!</definedName>
    <definedName name="_____MAT1" localSheetId="20">#REF!</definedName>
    <definedName name="_____MAT1" localSheetId="21">#REF!</definedName>
    <definedName name="_____MAT1" localSheetId="7">#REF!</definedName>
    <definedName name="_____MAT1" localSheetId="3">#REF!</definedName>
    <definedName name="_____MAT1" localSheetId="11">#REF!</definedName>
    <definedName name="_____MAT1">#REF!</definedName>
    <definedName name="_____MDO1" localSheetId="13">#REF!</definedName>
    <definedName name="_____MDO1" localSheetId="14">#REF!</definedName>
    <definedName name="_____MDO1" localSheetId="15">#REF!</definedName>
    <definedName name="_____MDO1" localSheetId="16">#REF!</definedName>
    <definedName name="_____MDO1" localSheetId="17">#REF!</definedName>
    <definedName name="_____MDO1" localSheetId="18">#REF!</definedName>
    <definedName name="_____MDO1" localSheetId="20">#REF!</definedName>
    <definedName name="_____MDO1" localSheetId="21">#REF!</definedName>
    <definedName name="_____MDO1" localSheetId="3">#REF!</definedName>
    <definedName name="_____MDO1" localSheetId="11">#REF!</definedName>
    <definedName name="_____MDO1">#REF!</definedName>
    <definedName name="_____MDO2" localSheetId="13">#REF!</definedName>
    <definedName name="_____MDO2" localSheetId="14">#REF!</definedName>
    <definedName name="_____MDO2" localSheetId="15">#REF!</definedName>
    <definedName name="_____MDO2" localSheetId="16">#REF!</definedName>
    <definedName name="_____MDO2" localSheetId="17">#REF!</definedName>
    <definedName name="_____MDO2" localSheetId="18">#REF!</definedName>
    <definedName name="_____MDO2" localSheetId="20">#REF!</definedName>
    <definedName name="_____MDO2" localSheetId="21">#REF!</definedName>
    <definedName name="_____MDO2" localSheetId="3">#REF!</definedName>
    <definedName name="_____MDO2" localSheetId="11">#REF!</definedName>
    <definedName name="_____MDO2">#REF!</definedName>
    <definedName name="_____OR14">#REF!</definedName>
    <definedName name="_____OR15">#REF!</definedName>
    <definedName name="_____OR16">#REF!</definedName>
    <definedName name="_____OR17">#REF!</definedName>
    <definedName name="_____OR18">#REF!</definedName>
    <definedName name="_____OR19">#REF!</definedName>
    <definedName name="_____OR2">#REF!</definedName>
    <definedName name="_____OR3">#REF!</definedName>
    <definedName name="_____OR4">#REF!</definedName>
    <definedName name="_____OR5">#REF!</definedName>
    <definedName name="_____OR6">#REF!</definedName>
    <definedName name="_____OR7">#REF!</definedName>
    <definedName name="_____OR8">#REF!</definedName>
    <definedName name="_____OR9">#REF!</definedName>
    <definedName name="_____R" localSheetId="13">#REF!</definedName>
    <definedName name="_____R" localSheetId="14">#REF!</definedName>
    <definedName name="_____R" localSheetId="15">#REF!</definedName>
    <definedName name="_____R" localSheetId="16">#REF!</definedName>
    <definedName name="_____R" localSheetId="17">#REF!</definedName>
    <definedName name="_____R" localSheetId="18">#REF!</definedName>
    <definedName name="_____R" localSheetId="20">#REF!</definedName>
    <definedName name="_____R" localSheetId="21">#REF!</definedName>
    <definedName name="_____R" localSheetId="22">#REF!</definedName>
    <definedName name="_____r" localSheetId="7">#REF!</definedName>
    <definedName name="_____R" localSheetId="3">#REF!</definedName>
    <definedName name="_____R" localSheetId="11">#REF!</definedName>
    <definedName name="_____r">#REF!</definedName>
    <definedName name="_____TR2">#REF!</definedName>
    <definedName name="_____y" localSheetId="13">#REF!</definedName>
    <definedName name="_____y" localSheetId="14">#REF!</definedName>
    <definedName name="_____y" localSheetId="15">#REF!</definedName>
    <definedName name="_____y" localSheetId="16">#REF!</definedName>
    <definedName name="_____y" localSheetId="17">#REF!</definedName>
    <definedName name="_____y" localSheetId="18">#REF!</definedName>
    <definedName name="_____y" localSheetId="20">#REF!</definedName>
    <definedName name="_____y" localSheetId="21">#REF!</definedName>
    <definedName name="_____y" localSheetId="7">#REF!</definedName>
    <definedName name="_____y" localSheetId="3">#REF!</definedName>
    <definedName name="_____y" localSheetId="11">#REF!</definedName>
    <definedName name="_____y">#REF!</definedName>
    <definedName name="____BOR1" localSheetId="13">#REF!</definedName>
    <definedName name="____BOR1" localSheetId="14">#REF!</definedName>
    <definedName name="____BOR1" localSheetId="15">#REF!</definedName>
    <definedName name="____BOR1" localSheetId="16">#REF!</definedName>
    <definedName name="____BOR1" localSheetId="17">#REF!</definedName>
    <definedName name="____BOR1" localSheetId="18">#REF!</definedName>
    <definedName name="____BOR1" localSheetId="20">#REF!</definedName>
    <definedName name="____BOR1" localSheetId="21">#REF!</definedName>
    <definedName name="____BOR1" localSheetId="7">#REF!</definedName>
    <definedName name="____BOR1" localSheetId="3">#REF!</definedName>
    <definedName name="____BOR1" localSheetId="11">#REF!</definedName>
    <definedName name="____BOR1">#REF!</definedName>
    <definedName name="____KM406407" localSheetId="13">#REF!</definedName>
    <definedName name="____KM406407" localSheetId="14">#REF!</definedName>
    <definedName name="____KM406407" localSheetId="15">#REF!</definedName>
    <definedName name="____KM406407" localSheetId="16">#REF!</definedName>
    <definedName name="____KM406407" localSheetId="17">#REF!</definedName>
    <definedName name="____KM406407" localSheetId="18">#REF!</definedName>
    <definedName name="____KM406407" localSheetId="20">#REF!</definedName>
    <definedName name="____KM406407" localSheetId="21">#REF!</definedName>
    <definedName name="____KM406407" localSheetId="7">#REF!</definedName>
    <definedName name="____KM406407" localSheetId="3">#REF!</definedName>
    <definedName name="____KM406407" localSheetId="11">#REF!</definedName>
    <definedName name="____KM406407">#REF!</definedName>
    <definedName name="____Km406408" localSheetId="13">#REF!</definedName>
    <definedName name="____Km406408" localSheetId="14">#REF!</definedName>
    <definedName name="____Km406408" localSheetId="15">#REF!</definedName>
    <definedName name="____Km406408" localSheetId="16">#REF!</definedName>
    <definedName name="____Km406408" localSheetId="17">#REF!</definedName>
    <definedName name="____Km406408" localSheetId="18">#REF!</definedName>
    <definedName name="____Km406408" localSheetId="20">#REF!</definedName>
    <definedName name="____Km406408" localSheetId="21">#REF!</definedName>
    <definedName name="____Km406408" localSheetId="7">#REF!</definedName>
    <definedName name="____Km406408" localSheetId="3">#REF!</definedName>
    <definedName name="____Km406408" localSheetId="11">#REF!</definedName>
    <definedName name="____Km406408">#REF!</definedName>
    <definedName name="____MAT1" localSheetId="13">#REF!</definedName>
    <definedName name="____MAT1" localSheetId="14">#REF!</definedName>
    <definedName name="____MAT1" localSheetId="15">#REF!</definedName>
    <definedName name="____MAT1" localSheetId="16">#REF!</definedName>
    <definedName name="____MAT1" localSheetId="17">#REF!</definedName>
    <definedName name="____MAT1" localSheetId="18">#REF!</definedName>
    <definedName name="____MAT1" localSheetId="20">#REF!</definedName>
    <definedName name="____MAT1" localSheetId="21">#REF!</definedName>
    <definedName name="____MAT1" localSheetId="7">#REF!</definedName>
    <definedName name="____MAT1" localSheetId="3">#REF!</definedName>
    <definedName name="____MAT1" localSheetId="11">#REF!</definedName>
    <definedName name="____MAT1">#REF!</definedName>
    <definedName name="____MDO1" localSheetId="13">#REF!</definedName>
    <definedName name="____MDO1" localSheetId="14">#REF!</definedName>
    <definedName name="____MDO1" localSheetId="15">#REF!</definedName>
    <definedName name="____MDO1" localSheetId="16">#REF!</definedName>
    <definedName name="____MDO1" localSheetId="17">#REF!</definedName>
    <definedName name="____MDO1" localSheetId="18">#REF!</definedName>
    <definedName name="____MDO1" localSheetId="20">#REF!</definedName>
    <definedName name="____MDO1" localSheetId="21">#REF!</definedName>
    <definedName name="____MDO1" localSheetId="3">#REF!</definedName>
    <definedName name="____MDO1" localSheetId="11">#REF!</definedName>
    <definedName name="____MDO1">#REF!</definedName>
    <definedName name="____MDO2" localSheetId="13">#REF!</definedName>
    <definedName name="____MDO2" localSheetId="14">#REF!</definedName>
    <definedName name="____MDO2" localSheetId="15">#REF!</definedName>
    <definedName name="____MDO2" localSheetId="16">#REF!</definedName>
    <definedName name="____MDO2" localSheetId="17">#REF!</definedName>
    <definedName name="____MDO2" localSheetId="18">#REF!</definedName>
    <definedName name="____MDO2" localSheetId="20">#REF!</definedName>
    <definedName name="____MDO2" localSheetId="21">#REF!</definedName>
    <definedName name="____MDO2" localSheetId="3">#REF!</definedName>
    <definedName name="____MDO2" localSheetId="11">#REF!</definedName>
    <definedName name="____MDO2">#REF!</definedName>
    <definedName name="____OR14">#REF!</definedName>
    <definedName name="____OR15">#REF!</definedName>
    <definedName name="____OR16">#REF!</definedName>
    <definedName name="____OR17">#REF!</definedName>
    <definedName name="____OR18">#REF!</definedName>
    <definedName name="____OR19">#REF!</definedName>
    <definedName name="____OR2">#REF!</definedName>
    <definedName name="____OR3">#REF!</definedName>
    <definedName name="____OR4">#REF!</definedName>
    <definedName name="____OR5">#REF!</definedName>
    <definedName name="____OR6">#REF!</definedName>
    <definedName name="____OR7">#REF!</definedName>
    <definedName name="____OR8">#REF!</definedName>
    <definedName name="____OR9">#REF!</definedName>
    <definedName name="____R" localSheetId="13">#REF!</definedName>
    <definedName name="____R" localSheetId="14">#REF!</definedName>
    <definedName name="____R" localSheetId="15">#REF!</definedName>
    <definedName name="____R" localSheetId="16">#REF!</definedName>
    <definedName name="____R" localSheetId="17">#REF!</definedName>
    <definedName name="____R" localSheetId="18">#REF!</definedName>
    <definedName name="____R" localSheetId="20">#REF!</definedName>
    <definedName name="____R" localSheetId="21">#REF!</definedName>
    <definedName name="____R" localSheetId="22">#REF!</definedName>
    <definedName name="____r" localSheetId="7">#REF!</definedName>
    <definedName name="____R" localSheetId="3">#REF!</definedName>
    <definedName name="____R" localSheetId="11">#REF!</definedName>
    <definedName name="____r">#REF!</definedName>
    <definedName name="____s" localSheetId="13">#REF!</definedName>
    <definedName name="____s" localSheetId="14">#REF!</definedName>
    <definedName name="____s" localSheetId="15">#REF!</definedName>
    <definedName name="____s" localSheetId="16">#REF!</definedName>
    <definedName name="____s" localSheetId="17">#REF!</definedName>
    <definedName name="____s" localSheetId="18">#REF!</definedName>
    <definedName name="____s" localSheetId="20">#REF!</definedName>
    <definedName name="____s" localSheetId="21">#REF!</definedName>
    <definedName name="____s" localSheetId="7">#REF!</definedName>
    <definedName name="____s" localSheetId="3">#REF!</definedName>
    <definedName name="____s" localSheetId="11">#REF!</definedName>
    <definedName name="____s">#REF!</definedName>
    <definedName name="____TR2">#REF!</definedName>
    <definedName name="___BOR1" localSheetId="13">#REF!</definedName>
    <definedName name="___BOR1" localSheetId="14">#REF!</definedName>
    <definedName name="___BOR1" localSheetId="15">#REF!</definedName>
    <definedName name="___BOR1" localSheetId="16">#REF!</definedName>
    <definedName name="___BOR1" localSheetId="17">#REF!</definedName>
    <definedName name="___BOR1" localSheetId="18">#REF!</definedName>
    <definedName name="___BOR1" localSheetId="20">#REF!</definedName>
    <definedName name="___BOR1" localSheetId="21">#REF!</definedName>
    <definedName name="___BOR1" localSheetId="7">#REF!</definedName>
    <definedName name="___BOR1" localSheetId="3">#REF!</definedName>
    <definedName name="___BOR1" localSheetId="11">#REF!</definedName>
    <definedName name="___BOR1">'[1]Bm 8'!#REF!</definedName>
    <definedName name="___KM406407" localSheetId="13">#REF!</definedName>
    <definedName name="___KM406407" localSheetId="14">#REF!</definedName>
    <definedName name="___KM406407" localSheetId="15">#REF!</definedName>
    <definedName name="___KM406407" localSheetId="16">#REF!</definedName>
    <definedName name="___KM406407" localSheetId="17">#REF!</definedName>
    <definedName name="___KM406407" localSheetId="18">#REF!</definedName>
    <definedName name="___KM406407" localSheetId="20">#REF!</definedName>
    <definedName name="___KM406407" localSheetId="21">#REF!</definedName>
    <definedName name="___KM406407" localSheetId="7">#REF!</definedName>
    <definedName name="___KM406407" localSheetId="3">#REF!</definedName>
    <definedName name="___KM406407" localSheetId="11">#REF!</definedName>
    <definedName name="___KM406407">#REF!</definedName>
    <definedName name="___MAT1" localSheetId="13">#REF!</definedName>
    <definedName name="___MAT1" localSheetId="14">#REF!</definedName>
    <definedName name="___MAT1" localSheetId="15">#REF!</definedName>
    <definedName name="___MAT1" localSheetId="16">#REF!</definedName>
    <definedName name="___MAT1" localSheetId="17">#REF!</definedName>
    <definedName name="___MAT1" localSheetId="18">#REF!</definedName>
    <definedName name="___MAT1" localSheetId="20">#REF!</definedName>
    <definedName name="___MAT1" localSheetId="21">#REF!</definedName>
    <definedName name="___MAT1" localSheetId="7">#REF!</definedName>
    <definedName name="___MAT1" localSheetId="3">#REF!</definedName>
    <definedName name="___MAT1" localSheetId="11">#REF!</definedName>
    <definedName name="___MAT1">#REF!</definedName>
    <definedName name="___MDO1" localSheetId="13">#REF!</definedName>
    <definedName name="___MDO1" localSheetId="14">#REF!</definedName>
    <definedName name="___MDO1" localSheetId="15">#REF!</definedName>
    <definedName name="___MDO1" localSheetId="16">#REF!</definedName>
    <definedName name="___MDO1" localSheetId="17">#REF!</definedName>
    <definedName name="___MDO1" localSheetId="18">#REF!</definedName>
    <definedName name="___MDO1" localSheetId="20">#REF!</definedName>
    <definedName name="___MDO1" localSheetId="21">#REF!</definedName>
    <definedName name="___MDO1" localSheetId="3">#REF!</definedName>
    <definedName name="___MDO1" localSheetId="11">#REF!</definedName>
    <definedName name="___MDO1">#REF!</definedName>
    <definedName name="___MDO2" localSheetId="13">#REF!</definedName>
    <definedName name="___MDO2" localSheetId="14">#REF!</definedName>
    <definedName name="___MDO2" localSheetId="15">#REF!</definedName>
    <definedName name="___MDO2" localSheetId="16">#REF!</definedName>
    <definedName name="___MDO2" localSheetId="17">#REF!</definedName>
    <definedName name="___MDO2" localSheetId="18">#REF!</definedName>
    <definedName name="___MDO2" localSheetId="20">#REF!</definedName>
    <definedName name="___MDO2" localSheetId="21">#REF!</definedName>
    <definedName name="___MDO2" localSheetId="3">#REF!</definedName>
    <definedName name="___MDO2" localSheetId="11">#REF!</definedName>
    <definedName name="___MDO2">#REF!</definedName>
    <definedName name="___OR14">#REF!</definedName>
    <definedName name="___OR15">#REF!</definedName>
    <definedName name="___OR16">#REF!</definedName>
    <definedName name="___OR17">#REF!</definedName>
    <definedName name="___OR18">#REF!</definedName>
    <definedName name="___OR19">#REF!</definedName>
    <definedName name="___OR2">#REF!</definedName>
    <definedName name="___OR3">#REF!</definedName>
    <definedName name="___OR4">#REF!</definedName>
    <definedName name="___OR5">#REF!</definedName>
    <definedName name="___OR6">#REF!</definedName>
    <definedName name="___OR7">#REF!</definedName>
    <definedName name="___OR8">#REF!</definedName>
    <definedName name="___OR9">#REF!</definedName>
    <definedName name="___R" localSheetId="13">#REF!</definedName>
    <definedName name="___R" localSheetId="14">#REF!</definedName>
    <definedName name="___R" localSheetId="15">#REF!</definedName>
    <definedName name="___R" localSheetId="16">#REF!</definedName>
    <definedName name="___R" localSheetId="17">#REF!</definedName>
    <definedName name="___R" localSheetId="18">#REF!</definedName>
    <definedName name="___R" localSheetId="20">#REF!</definedName>
    <definedName name="___R" localSheetId="21">#REF!</definedName>
    <definedName name="___R" localSheetId="22">#REF!</definedName>
    <definedName name="___r" localSheetId="7">#REF!</definedName>
    <definedName name="___R" localSheetId="3">#REF!</definedName>
    <definedName name="___R" localSheetId="11">#REF!</definedName>
    <definedName name="___r">#REF!</definedName>
    <definedName name="___TR2">#REF!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20" hidden="1">#REF!</definedName>
    <definedName name="__123Graph_A" localSheetId="21" hidden="1">#REF!</definedName>
    <definedName name="__123Graph_A" localSheetId="7" hidden="1">#REF!</definedName>
    <definedName name="__123Graph_A" localSheetId="3" hidden="1">#REF!</definedName>
    <definedName name="__123Graph_A" localSheetId="11" hidden="1">#REF!</definedName>
    <definedName name="__123Graph_A" hidden="1">#REF!</definedName>
    <definedName name="__123Graph_B" localSheetId="13" hidden="1">#REF!</definedName>
    <definedName name="__123Graph_B" localSheetId="14" hidden="1">#REF!</definedName>
    <definedName name="__123Graph_B" localSheetId="15" hidden="1">#REF!</definedName>
    <definedName name="__123Graph_B" localSheetId="16" hidden="1">#REF!</definedName>
    <definedName name="__123Graph_B" localSheetId="17" hidden="1">#REF!</definedName>
    <definedName name="__123Graph_B" localSheetId="18" hidden="1">#REF!</definedName>
    <definedName name="__123Graph_B" localSheetId="20" hidden="1">#REF!</definedName>
    <definedName name="__123Graph_B" localSheetId="21" hidden="1">#REF!</definedName>
    <definedName name="__123Graph_B" localSheetId="7" hidden="1">#REF!</definedName>
    <definedName name="__123Graph_B" localSheetId="3" hidden="1">#REF!</definedName>
    <definedName name="__123Graph_B" localSheetId="11" hidden="1">#REF!</definedName>
    <definedName name="__123Graph_B" hidden="1">#REF!</definedName>
    <definedName name="__123Graph_C" localSheetId="13" hidden="1">#REF!</definedName>
    <definedName name="__123Graph_C" localSheetId="14" hidden="1">#REF!</definedName>
    <definedName name="__123Graph_C" localSheetId="15" hidden="1">#REF!</definedName>
    <definedName name="__123Graph_C" localSheetId="16" hidden="1">#REF!</definedName>
    <definedName name="__123Graph_C" localSheetId="17" hidden="1">#REF!</definedName>
    <definedName name="__123Graph_C" localSheetId="18" hidden="1">#REF!</definedName>
    <definedName name="__123Graph_C" localSheetId="20" hidden="1">#REF!</definedName>
    <definedName name="__123Graph_C" localSheetId="21" hidden="1">#REF!</definedName>
    <definedName name="__123Graph_C" localSheetId="7" hidden="1">#REF!</definedName>
    <definedName name="__123Graph_C" localSheetId="3" hidden="1">#REF!</definedName>
    <definedName name="__123Graph_C" localSheetId="11" hidden="1">#REF!</definedName>
    <definedName name="__123Graph_C" hidden="1">#REF!</definedName>
    <definedName name="__123Graph_D" hidden="1">'[3]Etapa Única'!$C$125:$C$134</definedName>
    <definedName name="__123Graph_E" hidden="1">'[3]Etapa Única'!$E$125:$E$134</definedName>
    <definedName name="__123Graph_X" localSheetId="13" hidden="1">#REF!</definedName>
    <definedName name="__123Graph_X" localSheetId="14"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20" hidden="1">#REF!</definedName>
    <definedName name="__123Graph_X" localSheetId="21" hidden="1">#REF!</definedName>
    <definedName name="__123Graph_X" localSheetId="7" hidden="1">#REF!</definedName>
    <definedName name="__123Graph_X" localSheetId="3" hidden="1">#REF!</definedName>
    <definedName name="__123Graph_X" localSheetId="11" hidden="1">#REF!</definedName>
    <definedName name="__123Graph_X" hidden="1">#REF!</definedName>
    <definedName name="__1Excel_BuiltIn_Print_Area_1_1">#REF!</definedName>
    <definedName name="__2Excel_BuiltIn_Print_Area_1_1" localSheetId="13">#REF!</definedName>
    <definedName name="__2Excel_BuiltIn_Print_Area_1_1" localSheetId="14">#REF!</definedName>
    <definedName name="__2Excel_BuiltIn_Print_Area_1_1" localSheetId="15">#REF!</definedName>
    <definedName name="__2Excel_BuiltIn_Print_Area_1_1" localSheetId="16">#REF!</definedName>
    <definedName name="__2Excel_BuiltIn_Print_Area_1_1" localSheetId="17">#REF!</definedName>
    <definedName name="__2Excel_BuiltIn_Print_Area_1_1" localSheetId="18">#REF!</definedName>
    <definedName name="__2Excel_BuiltIn_Print_Area_1_1" localSheetId="20">#REF!</definedName>
    <definedName name="__2Excel_BuiltIn_Print_Area_1_1" localSheetId="21">#REF!</definedName>
    <definedName name="__2Excel_BuiltIn_Print_Area_1_1" localSheetId="7">#REF!</definedName>
    <definedName name="__2Excel_BuiltIn_Print_Area_1_1" localSheetId="3">#REF!</definedName>
    <definedName name="__2Excel_BuiltIn_Print_Area_1_1" localSheetId="11">#REF!</definedName>
    <definedName name="__2Excel_BuiltIn_Print_Area_1_1">#REF!</definedName>
    <definedName name="__BOR1" localSheetId="13">#REF!</definedName>
    <definedName name="__BOR1" localSheetId="14">#REF!</definedName>
    <definedName name="__BOR1" localSheetId="15">#REF!</definedName>
    <definedName name="__BOR1" localSheetId="16">#REF!</definedName>
    <definedName name="__BOR1" localSheetId="17">#REF!</definedName>
    <definedName name="__BOR1" localSheetId="18">#REF!</definedName>
    <definedName name="__BOR1" localSheetId="20">#REF!</definedName>
    <definedName name="__BOR1" localSheetId="21">#REF!</definedName>
    <definedName name="__BOR1" localSheetId="7">#REF!</definedName>
    <definedName name="__BOR1" localSheetId="3">#REF!</definedName>
    <definedName name="__BOR1" localSheetId="11">#REF!</definedName>
    <definedName name="__BOR1">'[1]Bm 8'!#REF!</definedName>
    <definedName name="__KM406407" localSheetId="13">#REF!</definedName>
    <definedName name="__KM406407" localSheetId="14">#REF!</definedName>
    <definedName name="__KM406407" localSheetId="15">#REF!</definedName>
    <definedName name="__KM406407" localSheetId="16">#REF!</definedName>
    <definedName name="__KM406407" localSheetId="17">#REF!</definedName>
    <definedName name="__KM406407" localSheetId="18">#REF!</definedName>
    <definedName name="__KM406407" localSheetId="20">#REF!</definedName>
    <definedName name="__KM406407" localSheetId="21">#REF!</definedName>
    <definedName name="__KM406407" localSheetId="7">#REF!</definedName>
    <definedName name="__KM406407" localSheetId="3">#REF!</definedName>
    <definedName name="__KM406407" localSheetId="11">#REF!</definedName>
    <definedName name="__KM406407">#REF!</definedName>
    <definedName name="__MAT1" localSheetId="13">#REF!</definedName>
    <definedName name="__MAT1" localSheetId="14">#REF!</definedName>
    <definedName name="__MAT1" localSheetId="15">#REF!</definedName>
    <definedName name="__MAT1" localSheetId="16">#REF!</definedName>
    <definedName name="__MAT1" localSheetId="17">#REF!</definedName>
    <definedName name="__MAT1" localSheetId="18">#REF!</definedName>
    <definedName name="__MAT1" localSheetId="20">#REF!</definedName>
    <definedName name="__MAT1" localSheetId="21">#REF!</definedName>
    <definedName name="__MAT1" localSheetId="7">#REF!</definedName>
    <definedName name="__MAT1" localSheetId="3">#REF!</definedName>
    <definedName name="__MAT1" localSheetId="11">#REF!</definedName>
    <definedName name="__MAT1">#REF!</definedName>
    <definedName name="__MDO1" localSheetId="13">#REF!</definedName>
    <definedName name="__MDO1" localSheetId="14">#REF!</definedName>
    <definedName name="__MDO1" localSheetId="15">#REF!</definedName>
    <definedName name="__MDO1" localSheetId="16">#REF!</definedName>
    <definedName name="__MDO1" localSheetId="17">#REF!</definedName>
    <definedName name="__MDO1" localSheetId="18">#REF!</definedName>
    <definedName name="__MDO1" localSheetId="20">#REF!</definedName>
    <definedName name="__MDO1" localSheetId="21">#REF!</definedName>
    <definedName name="__MDO1" localSheetId="3">#REF!</definedName>
    <definedName name="__MDO1" localSheetId="11">#REF!</definedName>
    <definedName name="__MDO1">#REF!</definedName>
    <definedName name="__MDO2" localSheetId="13">#REF!</definedName>
    <definedName name="__MDO2" localSheetId="14">#REF!</definedName>
    <definedName name="__MDO2" localSheetId="15">#REF!</definedName>
    <definedName name="__MDO2" localSheetId="16">#REF!</definedName>
    <definedName name="__MDO2" localSheetId="17">#REF!</definedName>
    <definedName name="__MDO2" localSheetId="18">#REF!</definedName>
    <definedName name="__MDO2" localSheetId="20">#REF!</definedName>
    <definedName name="__MDO2" localSheetId="21">#REF!</definedName>
    <definedName name="__MDO2" localSheetId="3">#REF!</definedName>
    <definedName name="__MDO2" localSheetId="11">#REF!</definedName>
    <definedName name="__MDO2">#REF!</definedName>
    <definedName name="__OR14">#REF!</definedName>
    <definedName name="__OR15">#REF!</definedName>
    <definedName name="__OR16">#REF!</definedName>
    <definedName name="__OR17">#REF!</definedName>
    <definedName name="__OR18">#REF!</definedName>
    <definedName name="__OR19">#REF!</definedName>
    <definedName name="__OR2">#REF!</definedName>
    <definedName name="__OR3">#REF!</definedName>
    <definedName name="__OR4">#REF!</definedName>
    <definedName name="__OR5">#REF!</definedName>
    <definedName name="__OR6">#REF!</definedName>
    <definedName name="__OR7">#REF!</definedName>
    <definedName name="__OR8">#REF!</definedName>
    <definedName name="__OR9">#REF!</definedName>
    <definedName name="__R" localSheetId="13">#REF!</definedName>
    <definedName name="__R" localSheetId="14">#REF!</definedName>
    <definedName name="__R" localSheetId="15">#REF!</definedName>
    <definedName name="__R" localSheetId="16">#REF!</definedName>
    <definedName name="__R" localSheetId="17">#REF!</definedName>
    <definedName name="__R" localSheetId="18">#REF!</definedName>
    <definedName name="__R" localSheetId="20">#REF!</definedName>
    <definedName name="__R" localSheetId="21">#REF!</definedName>
    <definedName name="__R" localSheetId="22">#REF!</definedName>
    <definedName name="__r" localSheetId="7">#REF!</definedName>
    <definedName name="__R" localSheetId="3">#REF!</definedName>
    <definedName name="__R" localSheetId="11">#REF!</definedName>
    <definedName name="__r">#REF!</definedName>
    <definedName name="__s" localSheetId="13">#REF!</definedName>
    <definedName name="__s" localSheetId="14">#REF!</definedName>
    <definedName name="__s" localSheetId="15">#REF!</definedName>
    <definedName name="__s" localSheetId="16">#REF!</definedName>
    <definedName name="__s" localSheetId="17">#REF!</definedName>
    <definedName name="__s" localSheetId="18">#REF!</definedName>
    <definedName name="__s" localSheetId="20">#REF!</definedName>
    <definedName name="__s" localSheetId="21">#REF!</definedName>
    <definedName name="__s" localSheetId="7">#REF!</definedName>
    <definedName name="__s" localSheetId="3">#REF!</definedName>
    <definedName name="__s" localSheetId="11">#REF!</definedName>
    <definedName name="__s">#REF!</definedName>
    <definedName name="__TR2">#REF!</definedName>
    <definedName name="_01_01_2005">#REF!,#REF!</definedName>
    <definedName name="_08.302.01" localSheetId="13">#REF!</definedName>
    <definedName name="_08.302.01" localSheetId="14">#REF!</definedName>
    <definedName name="_08.302.01" localSheetId="15">#REF!</definedName>
    <definedName name="_08.302.01" localSheetId="16">#REF!</definedName>
    <definedName name="_08.302.01" localSheetId="17">#REF!</definedName>
    <definedName name="_08.302.01" localSheetId="18">#REF!</definedName>
    <definedName name="_08.302.01" localSheetId="20">#REF!</definedName>
    <definedName name="_08.302.01" localSheetId="21">#REF!</definedName>
    <definedName name="_08.302.01" localSheetId="22">#REF!</definedName>
    <definedName name="_08.302.01" localSheetId="7">#REF!</definedName>
    <definedName name="_08.302.01" localSheetId="3">#REF!</definedName>
    <definedName name="_08.302.01" localSheetId="11">#REF!</definedName>
    <definedName name="_08.302.01">#REF!</definedName>
    <definedName name="_1Excel_BuiltIn_Print_Area_1_1" localSheetId="13">#REF!</definedName>
    <definedName name="_1Excel_BuiltIn_Print_Area_1_1" localSheetId="14">#REF!</definedName>
    <definedName name="_1Excel_BuiltIn_Print_Area_1_1" localSheetId="15">#REF!</definedName>
    <definedName name="_1Excel_BuiltIn_Print_Area_1_1" localSheetId="16">#REF!</definedName>
    <definedName name="_1Excel_BuiltIn_Print_Area_1_1" localSheetId="17">#REF!</definedName>
    <definedName name="_1Excel_BuiltIn_Print_Area_1_1" localSheetId="18">#REF!</definedName>
    <definedName name="_1Excel_BuiltIn_Print_Area_1_1" localSheetId="20">#REF!</definedName>
    <definedName name="_1Excel_BuiltIn_Print_Area_1_1" localSheetId="21">#REF!</definedName>
    <definedName name="_1Excel_BuiltIn_Print_Area_1_1" localSheetId="3">#REF!</definedName>
    <definedName name="_1Excel_BuiltIn_Print_Area_1_1" localSheetId="11">#REF!</definedName>
    <definedName name="_1Excel_BuiltIn_Print_Area_1_1">#REF!</definedName>
    <definedName name="_1Excel_BuiltIn_Print_Area_1_1_1_1_1">#REF!</definedName>
    <definedName name="_2Excel_BuiltIn_Print_Area_1_1" localSheetId="13">#REF!</definedName>
    <definedName name="_2Excel_BuiltIn_Print_Area_1_1" localSheetId="14">#REF!</definedName>
    <definedName name="_2Excel_BuiltIn_Print_Area_1_1" localSheetId="15">#REF!</definedName>
    <definedName name="_2Excel_BuiltIn_Print_Area_1_1" localSheetId="16">#REF!</definedName>
    <definedName name="_2Excel_BuiltIn_Print_Area_1_1" localSheetId="17">#REF!</definedName>
    <definedName name="_2Excel_BuiltIn_Print_Area_1_1" localSheetId="18">#REF!</definedName>
    <definedName name="_2Excel_BuiltIn_Print_Area_1_1" localSheetId="20">#REF!</definedName>
    <definedName name="_2Excel_BuiltIn_Print_Area_1_1" localSheetId="21">#REF!</definedName>
    <definedName name="_2Excel_BuiltIn_Print_Area_1_1" localSheetId="7">#REF!</definedName>
    <definedName name="_2Excel_BuiltIn_Print_Area_1_1" localSheetId="3">#REF!</definedName>
    <definedName name="_2Excel_BuiltIn_Print_Area_1_1" localSheetId="11">#REF!</definedName>
    <definedName name="_2Excel_BuiltIn_Print_Area_1_1">#REF!</definedName>
    <definedName name="_2Excel_BuiltIn_Print_Area_1_1_1_1_1_1">#REF!</definedName>
    <definedName name="_3Excel_BuiltIn_Print_Area_1_1" localSheetId="13">#REF!</definedName>
    <definedName name="_3Excel_BuiltIn_Print_Area_1_1" localSheetId="14">#REF!</definedName>
    <definedName name="_3Excel_BuiltIn_Print_Area_1_1" localSheetId="15">#REF!</definedName>
    <definedName name="_3Excel_BuiltIn_Print_Area_1_1" localSheetId="16">#REF!</definedName>
    <definedName name="_3Excel_BuiltIn_Print_Area_1_1" localSheetId="17">#REF!</definedName>
    <definedName name="_3Excel_BuiltIn_Print_Area_1_1" localSheetId="18">#REF!</definedName>
    <definedName name="_3Excel_BuiltIn_Print_Area_1_1" localSheetId="20">#REF!</definedName>
    <definedName name="_3Excel_BuiltIn_Print_Area_1_1" localSheetId="21">#REF!</definedName>
    <definedName name="_3Excel_BuiltIn_Print_Area_1_1" localSheetId="3">#REF!</definedName>
    <definedName name="_3Excel_BuiltIn_Print_Area_1_1" localSheetId="11">#REF!</definedName>
    <definedName name="_3Excel_BuiltIn_Print_Area_1_1">#REF!</definedName>
    <definedName name="_BD2">#REF!</definedName>
    <definedName name="_BOR1" localSheetId="13">#REF!</definedName>
    <definedName name="_BOR1" localSheetId="14">#REF!</definedName>
    <definedName name="_BOR1" localSheetId="15">#REF!</definedName>
    <definedName name="_BOR1" localSheetId="16">#REF!</definedName>
    <definedName name="_BOR1" localSheetId="17">#REF!</definedName>
    <definedName name="_BOR1" localSheetId="18">#REF!</definedName>
    <definedName name="_BOR1" localSheetId="20">#REF!</definedName>
    <definedName name="_BOR1" localSheetId="21">#REF!</definedName>
    <definedName name="_BOR1" localSheetId="7">#REF!</definedName>
    <definedName name="_BOR1" localSheetId="3">#REF!</definedName>
    <definedName name="_BOR1" localSheetId="11">#REF!</definedName>
    <definedName name="_BOR1">'[1]Bm 8'!#REF!</definedName>
    <definedName name="_C" localSheetId="13">#REF!</definedName>
    <definedName name="_C" localSheetId="14">#REF!</definedName>
    <definedName name="_C" localSheetId="15">#REF!</definedName>
    <definedName name="_C" localSheetId="16">#REF!</definedName>
    <definedName name="_C" localSheetId="17">#REF!</definedName>
    <definedName name="_C" localSheetId="18">#REF!</definedName>
    <definedName name="_C" localSheetId="20">#REF!</definedName>
    <definedName name="_C" localSheetId="21">#REF!</definedName>
    <definedName name="_C" localSheetId="3">#REF!</definedName>
    <definedName name="_C" localSheetId="11">#REF!</definedName>
    <definedName name="_C">#REF!</definedName>
    <definedName name="_C_1" localSheetId="13">#REF!</definedName>
    <definedName name="_C_1" localSheetId="14">#REF!</definedName>
    <definedName name="_C_1" localSheetId="15">#REF!</definedName>
    <definedName name="_C_1" localSheetId="16">#REF!</definedName>
    <definedName name="_C_1" localSheetId="17">#REF!</definedName>
    <definedName name="_C_1" localSheetId="18">#REF!</definedName>
    <definedName name="_C_1" localSheetId="20">#REF!</definedName>
    <definedName name="_C_1" localSheetId="21">#REF!</definedName>
    <definedName name="_C_1" localSheetId="3">#REF!</definedName>
    <definedName name="_C_1" localSheetId="11">#REF!</definedName>
    <definedName name="_C_1">#REF!</definedName>
    <definedName name="_D" localSheetId="13">#REF!</definedName>
    <definedName name="_D" localSheetId="14">#REF!</definedName>
    <definedName name="_D" localSheetId="15">#REF!</definedName>
    <definedName name="_D" localSheetId="16">#REF!</definedName>
    <definedName name="_D" localSheetId="17">#REF!</definedName>
    <definedName name="_D" localSheetId="18">#REF!</definedName>
    <definedName name="_D" localSheetId="20">#REF!</definedName>
    <definedName name="_D" localSheetId="21">#REF!</definedName>
    <definedName name="_D" localSheetId="22">#REF!</definedName>
    <definedName name="_d" localSheetId="7">#REF!</definedName>
    <definedName name="_D" localSheetId="3">#REF!</definedName>
    <definedName name="_D" localSheetId="11">#REF!</definedName>
    <definedName name="_d">#REF!</definedName>
    <definedName name="_D_1" localSheetId="13">#REF!</definedName>
    <definedName name="_D_1" localSheetId="14">#REF!</definedName>
    <definedName name="_D_1" localSheetId="15">#REF!</definedName>
    <definedName name="_D_1" localSheetId="16">#REF!</definedName>
    <definedName name="_D_1" localSheetId="17">#REF!</definedName>
    <definedName name="_D_1" localSheetId="18">#REF!</definedName>
    <definedName name="_D_1" localSheetId="20">#REF!</definedName>
    <definedName name="_D_1" localSheetId="21">#REF!</definedName>
    <definedName name="_D_1" localSheetId="3">#REF!</definedName>
    <definedName name="_D_1" localSheetId="11">#REF!</definedName>
    <definedName name="_D_1">#REF!</definedName>
    <definedName name="_f" localSheetId="13">#REF!</definedName>
    <definedName name="_f" localSheetId="14">#REF!</definedName>
    <definedName name="_f" localSheetId="15">#REF!</definedName>
    <definedName name="_f" localSheetId="16">#REF!</definedName>
    <definedName name="_f" localSheetId="17">#REF!</definedName>
    <definedName name="_f" localSheetId="18">#REF!</definedName>
    <definedName name="_f" localSheetId="20">#REF!</definedName>
    <definedName name="_f" localSheetId="21">#REF!</definedName>
    <definedName name="_f" localSheetId="7">#REF!</definedName>
    <definedName name="_f" localSheetId="3">#REF!</definedName>
    <definedName name="_f" localSheetId="11">#REF!</definedName>
    <definedName name="_f">#REF!</definedName>
    <definedName name="_FCCEMED_" localSheetId="13">#REF!</definedName>
    <definedName name="_FCCEMED_" localSheetId="14">#REF!</definedName>
    <definedName name="_FCCEMED_" localSheetId="15">#REF!</definedName>
    <definedName name="_FCCEMED_" localSheetId="16">#REF!</definedName>
    <definedName name="_FCCEMED_" localSheetId="17">#REF!</definedName>
    <definedName name="_FCCEMED_" localSheetId="18">#REF!</definedName>
    <definedName name="_FCCEMED_" localSheetId="20">#REF!</definedName>
    <definedName name="_FCCEMED_" localSheetId="21">#REF!</definedName>
    <definedName name="_FCCEMED_" localSheetId="7">#REF!</definedName>
    <definedName name="_FCCEMED_" localSheetId="3">#REF!</definedName>
    <definedName name="_FCCEMED_" localSheetId="11">#REF!</definedName>
    <definedName name="_FCCEMED_">[2]Reforma!#REF!</definedName>
    <definedName name="_fer" localSheetId="13">#REF!</definedName>
    <definedName name="_fer" localSheetId="14">#REF!</definedName>
    <definedName name="_fer" localSheetId="15">#REF!</definedName>
    <definedName name="_fer" localSheetId="16">#REF!</definedName>
    <definedName name="_fer" localSheetId="17">#REF!</definedName>
    <definedName name="_fer" localSheetId="18">#REF!</definedName>
    <definedName name="_fer" localSheetId="20">#REF!</definedName>
    <definedName name="_fer" localSheetId="21">#REF!</definedName>
    <definedName name="_fer" localSheetId="7">#REF!</definedName>
    <definedName name="_fer" localSheetId="3">#REF!</definedName>
    <definedName name="_fer" localSheetId="11">#REF!</definedName>
    <definedName name="_fer">[2]Reforma!#REF!</definedName>
    <definedName name="_Fill" hidden="1">#REF!</definedName>
    <definedName name="_xlnm._FilterDatabase" localSheetId="7" hidden="1">'MC DESM'!$A$6:$N$13</definedName>
    <definedName name="_xlnm._FilterDatabase" localSheetId="0" hidden="1">'PLANILHA GERAL'!$A$15:$P$16</definedName>
    <definedName name="_xlnm._FilterDatabase" localSheetId="11" hidden="1">'PREV INUNDAÇÕES'!$A$6:$G$113</definedName>
    <definedName name="_xlnm._FilterDatabase">#REF!</definedName>
    <definedName name="_G" localSheetId="13">#REF!</definedName>
    <definedName name="_G" localSheetId="14">#REF!</definedName>
    <definedName name="_G" localSheetId="15">#REF!</definedName>
    <definedName name="_G" localSheetId="16">#REF!</definedName>
    <definedName name="_G" localSheetId="17">#REF!</definedName>
    <definedName name="_G" localSheetId="18">#REF!</definedName>
    <definedName name="_G" localSheetId="20">#REF!</definedName>
    <definedName name="_G" localSheetId="21">#REF!</definedName>
    <definedName name="_G" localSheetId="3">#REF!</definedName>
    <definedName name="_G" localSheetId="11">#REF!</definedName>
    <definedName name="_G">#REF!</definedName>
    <definedName name="_G_1" localSheetId="13">#REF!</definedName>
    <definedName name="_G_1" localSheetId="14">#REF!</definedName>
    <definedName name="_G_1" localSheetId="15">#REF!</definedName>
    <definedName name="_G_1" localSheetId="16">#REF!</definedName>
    <definedName name="_G_1" localSheetId="17">#REF!</definedName>
    <definedName name="_G_1" localSheetId="18">#REF!</definedName>
    <definedName name="_G_1" localSheetId="20">#REF!</definedName>
    <definedName name="_G_1" localSheetId="21">#REF!</definedName>
    <definedName name="_G_1" localSheetId="3">#REF!</definedName>
    <definedName name="_G_1" localSheetId="11">#REF!</definedName>
    <definedName name="_G_1">#REF!</definedName>
    <definedName name="_GOTO_D1_" localSheetId="13">#REF!</definedName>
    <definedName name="_GOTO_D1_" localSheetId="14">#REF!</definedName>
    <definedName name="_GOTO_D1_" localSheetId="15">#REF!</definedName>
    <definedName name="_GOTO_D1_" localSheetId="16">#REF!</definedName>
    <definedName name="_GOTO_D1_" localSheetId="17">#REF!</definedName>
    <definedName name="_GOTO_D1_" localSheetId="18">#REF!</definedName>
    <definedName name="_GOTO_D1_" localSheetId="20">#REF!</definedName>
    <definedName name="_GOTO_D1_" localSheetId="21">#REF!</definedName>
    <definedName name="_GOTO_D1_" localSheetId="7">#REF!</definedName>
    <definedName name="_GOTO_D1_" localSheetId="3">#REF!</definedName>
    <definedName name="_GOTO_D1_" localSheetId="11">#REF!</definedName>
    <definedName name="_GOTO_D1_">[2]Reforma!#REF!</definedName>
    <definedName name="_GOTO_E1_" localSheetId="13">#REF!</definedName>
    <definedName name="_GOTO_E1_" localSheetId="14">#REF!</definedName>
    <definedName name="_GOTO_E1_" localSheetId="15">#REF!</definedName>
    <definedName name="_GOTO_E1_" localSheetId="16">#REF!</definedName>
    <definedName name="_GOTO_E1_" localSheetId="17">#REF!</definedName>
    <definedName name="_GOTO_E1_" localSheetId="18">#REF!</definedName>
    <definedName name="_GOTO_E1_" localSheetId="20">#REF!</definedName>
    <definedName name="_GOTO_E1_" localSheetId="21">#REF!</definedName>
    <definedName name="_GOTO_E1_" localSheetId="7">#REF!</definedName>
    <definedName name="_GOTO_E1_" localSheetId="3">#REF!</definedName>
    <definedName name="_GOTO_E1_" localSheetId="11">#REF!</definedName>
    <definedName name="_GOTO_E1_">[2]Reforma!#REF!</definedName>
    <definedName name="_GOTO_N1_" localSheetId="13">#REF!</definedName>
    <definedName name="_GOTO_N1_" localSheetId="14">#REF!</definedName>
    <definedName name="_GOTO_N1_" localSheetId="15">#REF!</definedName>
    <definedName name="_GOTO_N1_" localSheetId="16">#REF!</definedName>
    <definedName name="_GOTO_N1_" localSheetId="17">#REF!</definedName>
    <definedName name="_GOTO_N1_" localSheetId="18">#REF!</definedName>
    <definedName name="_GOTO_N1_" localSheetId="20">#REF!</definedName>
    <definedName name="_GOTO_N1_" localSheetId="21">#REF!</definedName>
    <definedName name="_GOTO_N1_" localSheetId="7">#REF!</definedName>
    <definedName name="_GOTO_N1_" localSheetId="3">#REF!</definedName>
    <definedName name="_GOTO_N1_" localSheetId="11">#REF!</definedName>
    <definedName name="_GOTO_N1_">[2]Reforma!#REF!</definedName>
    <definedName name="_HOME__" localSheetId="13">#REF!</definedName>
    <definedName name="_HOME__" localSheetId="14">#REF!</definedName>
    <definedName name="_HOME__" localSheetId="15">#REF!</definedName>
    <definedName name="_HOME__" localSheetId="16">#REF!</definedName>
    <definedName name="_HOME__" localSheetId="17">#REF!</definedName>
    <definedName name="_HOME__" localSheetId="18">#REF!</definedName>
    <definedName name="_HOME__" localSheetId="20">#REF!</definedName>
    <definedName name="_HOME__" localSheetId="21">#REF!</definedName>
    <definedName name="_HOME__" localSheetId="7">#REF!</definedName>
    <definedName name="_HOME__" localSheetId="3">#REF!</definedName>
    <definedName name="_HOME__" localSheetId="11">#REF!</definedName>
    <definedName name="_HOME__">[2]Reforma!#REF!</definedName>
    <definedName name="_I" localSheetId="13">#REF!</definedName>
    <definedName name="_I" localSheetId="14">#REF!</definedName>
    <definedName name="_I" localSheetId="15">#REF!</definedName>
    <definedName name="_I" localSheetId="16">#REF!</definedName>
    <definedName name="_I" localSheetId="17">#REF!</definedName>
    <definedName name="_I" localSheetId="18">#REF!</definedName>
    <definedName name="_I" localSheetId="20">#REF!</definedName>
    <definedName name="_I" localSheetId="21">#REF!</definedName>
    <definedName name="_I" localSheetId="3">#REF!</definedName>
    <definedName name="_I" localSheetId="11">#REF!</definedName>
    <definedName name="_I">#REF!</definedName>
    <definedName name="_I_1" localSheetId="13">#REF!</definedName>
    <definedName name="_I_1" localSheetId="14">#REF!</definedName>
    <definedName name="_I_1" localSheetId="15">#REF!</definedName>
    <definedName name="_I_1" localSheetId="16">#REF!</definedName>
    <definedName name="_I_1" localSheetId="17">#REF!</definedName>
    <definedName name="_I_1" localSheetId="18">#REF!</definedName>
    <definedName name="_I_1" localSheetId="20">#REF!</definedName>
    <definedName name="_I_1" localSheetId="21">#REF!</definedName>
    <definedName name="_I_1" localSheetId="3">#REF!</definedName>
    <definedName name="_I_1" localSheetId="11">#REF!</definedName>
    <definedName name="_I_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20" hidden="1">#REF!</definedName>
    <definedName name="_Key1" localSheetId="21" hidden="1">#REF!</definedName>
    <definedName name="_Key1" localSheetId="7" hidden="1">#REF!</definedName>
    <definedName name="_Key1" localSheetId="3" hidden="1">#REF!</definedName>
    <definedName name="_Key1" localSheetId="11" hidden="1">#REF!</definedName>
    <definedName name="_Key1" hidden="1">#REF!</definedName>
    <definedName name="_KM406407" localSheetId="13">#REF!</definedName>
    <definedName name="_KM406407" localSheetId="14">#REF!</definedName>
    <definedName name="_KM406407" localSheetId="15">#REF!</definedName>
    <definedName name="_KM406407" localSheetId="16">#REF!</definedName>
    <definedName name="_KM406407" localSheetId="17">#REF!</definedName>
    <definedName name="_KM406407" localSheetId="18">#REF!</definedName>
    <definedName name="_KM406407" localSheetId="20">#REF!</definedName>
    <definedName name="_KM406407" localSheetId="21">#REF!</definedName>
    <definedName name="_KM406407" localSheetId="7">#REF!</definedName>
    <definedName name="_KM406407" localSheetId="3">#REF!</definedName>
    <definedName name="_KM406407" localSheetId="11">#REF!</definedName>
    <definedName name="_KM406407">#REF!</definedName>
    <definedName name="_M" localSheetId="13">#REF!</definedName>
    <definedName name="_M" localSheetId="14">#REF!</definedName>
    <definedName name="_M" localSheetId="15">#REF!</definedName>
    <definedName name="_M" localSheetId="16">#REF!</definedName>
    <definedName name="_M" localSheetId="17">#REF!</definedName>
    <definedName name="_M" localSheetId="18">#REF!</definedName>
    <definedName name="_M" localSheetId="20">#REF!</definedName>
    <definedName name="_M" localSheetId="21">#REF!</definedName>
    <definedName name="_M" localSheetId="3">#REF!</definedName>
    <definedName name="_M" localSheetId="11">#REF!</definedName>
    <definedName name="_M">#REF!</definedName>
    <definedName name="_M_1" localSheetId="13">#REF!</definedName>
    <definedName name="_M_1" localSheetId="14">#REF!</definedName>
    <definedName name="_M_1" localSheetId="15">#REF!</definedName>
    <definedName name="_M_1" localSheetId="16">#REF!</definedName>
    <definedName name="_M_1" localSheetId="17">#REF!</definedName>
    <definedName name="_M_1" localSheetId="18">#REF!</definedName>
    <definedName name="_M_1" localSheetId="20">#REF!</definedName>
    <definedName name="_M_1" localSheetId="21">#REF!</definedName>
    <definedName name="_M_1" localSheetId="3">#REF!</definedName>
    <definedName name="_M_1" localSheetId="11">#REF!</definedName>
    <definedName name="_M_1">#REF!</definedName>
    <definedName name="_MAT1" localSheetId="13">#REF!</definedName>
    <definedName name="_MAT1" localSheetId="14">#REF!</definedName>
    <definedName name="_MAT1" localSheetId="15">#REF!</definedName>
    <definedName name="_MAT1" localSheetId="16">#REF!</definedName>
    <definedName name="_MAT1" localSheetId="17">#REF!</definedName>
    <definedName name="_MAT1" localSheetId="18">#REF!</definedName>
    <definedName name="_MAT1" localSheetId="20">#REF!</definedName>
    <definedName name="_MAT1" localSheetId="21">#REF!</definedName>
    <definedName name="_MAT1" localSheetId="7">#REF!</definedName>
    <definedName name="_MAT1" localSheetId="3">#REF!</definedName>
    <definedName name="_MAT1" localSheetId="11">#REF!</definedName>
    <definedName name="_MAT1">#REF!</definedName>
    <definedName name="_MDO1" localSheetId="13">#REF!</definedName>
    <definedName name="_MDO1" localSheetId="14">#REF!</definedName>
    <definedName name="_MDO1" localSheetId="15">#REF!</definedName>
    <definedName name="_MDO1" localSheetId="16">#REF!</definedName>
    <definedName name="_MDO1" localSheetId="17">#REF!</definedName>
    <definedName name="_MDO1" localSheetId="18">#REF!</definedName>
    <definedName name="_MDO1" localSheetId="20">#REF!</definedName>
    <definedName name="_MDO1" localSheetId="21">#REF!</definedName>
    <definedName name="_MDO1" localSheetId="3">#REF!</definedName>
    <definedName name="_MDO1" localSheetId="11">#REF!</definedName>
    <definedName name="_MDO1">#REF!</definedName>
    <definedName name="_MDO2" localSheetId="13">#REF!</definedName>
    <definedName name="_MDO2" localSheetId="14">#REF!</definedName>
    <definedName name="_MDO2" localSheetId="15">#REF!</definedName>
    <definedName name="_MDO2" localSheetId="16">#REF!</definedName>
    <definedName name="_MDO2" localSheetId="17">#REF!</definedName>
    <definedName name="_MDO2" localSheetId="18">#REF!</definedName>
    <definedName name="_MDO2" localSheetId="20">#REF!</definedName>
    <definedName name="_MDO2" localSheetId="21">#REF!</definedName>
    <definedName name="_MDO2" localSheetId="3">#REF!</definedName>
    <definedName name="_MDO2" localSheetId="11">#REF!</definedName>
    <definedName name="_MDO2">#REF!</definedName>
    <definedName name="_MM" localSheetId="13" hidden="1">#REF!</definedName>
    <definedName name="_MM" localSheetId="14" hidden="1">#REF!</definedName>
    <definedName name="_MM" localSheetId="15" hidden="1">#REF!</definedName>
    <definedName name="_MM" localSheetId="16" hidden="1">#REF!</definedName>
    <definedName name="_MM" localSheetId="17" hidden="1">#REF!</definedName>
    <definedName name="_MM" localSheetId="18" hidden="1">#REF!</definedName>
    <definedName name="_MM" localSheetId="20" hidden="1">#REF!</definedName>
    <definedName name="_MM" localSheetId="21" hidden="1">#REF!</definedName>
    <definedName name="_MM" localSheetId="7" hidden="1">#REF!</definedName>
    <definedName name="_MM" localSheetId="3" hidden="1">#REF!</definedName>
    <definedName name="_MM" localSheetId="11" hidden="1">#REF!</definedName>
    <definedName name="_MM" hidden="1">#REF!</definedName>
    <definedName name="_OR14">#REF!</definedName>
    <definedName name="_OR15">#REF!</definedName>
    <definedName name="_OR16">#REF!</definedName>
    <definedName name="_OR17">#REF!</definedName>
    <definedName name="_OR18">#REF!</definedName>
    <definedName name="_OR19">#REF!</definedName>
    <definedName name="_OR2">#REF!</definedName>
    <definedName name="_OR3">#REF!</definedName>
    <definedName name="_OR4">#REF!</definedName>
    <definedName name="_OR5">#REF!</definedName>
    <definedName name="_OR6">#REF!</definedName>
    <definedName name="_OR7">#REF!</definedName>
    <definedName name="_OR8">#REF!</definedName>
    <definedName name="_OR9">#REF!</definedName>
    <definedName name="_Order1" hidden="1">255</definedName>
    <definedName name="_P" localSheetId="13">#REF!</definedName>
    <definedName name="_P" localSheetId="14">#REF!</definedName>
    <definedName name="_P" localSheetId="15">#REF!</definedName>
    <definedName name="_P" localSheetId="16">#REF!</definedName>
    <definedName name="_P" localSheetId="17">#REF!</definedName>
    <definedName name="_P" localSheetId="18">#REF!</definedName>
    <definedName name="_P" localSheetId="20">#REF!</definedName>
    <definedName name="_P" localSheetId="21">#REF!</definedName>
    <definedName name="_P" localSheetId="22">#REF!</definedName>
    <definedName name="_p" localSheetId="7">#REF!</definedName>
    <definedName name="_P" localSheetId="3">#REF!</definedName>
    <definedName name="_P" localSheetId="11">#REF!</definedName>
    <definedName name="_p">#REF!</definedName>
    <definedName name="_P_1" localSheetId="13">#REF!</definedName>
    <definedName name="_P_1" localSheetId="14">#REF!</definedName>
    <definedName name="_P_1" localSheetId="15">#REF!</definedName>
    <definedName name="_P_1" localSheetId="16">#REF!</definedName>
    <definedName name="_P_1" localSheetId="17">#REF!</definedName>
    <definedName name="_P_1" localSheetId="18">#REF!</definedName>
    <definedName name="_P_1" localSheetId="20">#REF!</definedName>
    <definedName name="_P_1" localSheetId="21">#REF!</definedName>
    <definedName name="_P_1" localSheetId="3">#REF!</definedName>
    <definedName name="_P_1" localSheetId="11">#REF!</definedName>
    <definedName name="_P_1">#REF!</definedName>
    <definedName name="_PPOS015Q_AGPQ_" localSheetId="13">#REF!</definedName>
    <definedName name="_PPOS015Q_AGPQ_" localSheetId="14">#REF!</definedName>
    <definedName name="_PPOS015Q_AGPQ_" localSheetId="15">#REF!</definedName>
    <definedName name="_PPOS015Q_AGPQ_" localSheetId="16">#REF!</definedName>
    <definedName name="_PPOS015Q_AGPQ_" localSheetId="17">#REF!</definedName>
    <definedName name="_PPOS015Q_AGPQ_" localSheetId="18">#REF!</definedName>
    <definedName name="_PPOS015Q_AGPQ_" localSheetId="20">#REF!</definedName>
    <definedName name="_PPOS015Q_AGPQ_" localSheetId="21">#REF!</definedName>
    <definedName name="_PPOS015Q_AGPQ_" localSheetId="7">#REF!</definedName>
    <definedName name="_PPOS015Q_AGPQ_" localSheetId="3">#REF!</definedName>
    <definedName name="_PPOS015Q_AGPQ_" localSheetId="11">#REF!</definedName>
    <definedName name="_PPOS015Q_AGPQ_">#REF!</definedName>
    <definedName name="_PPOS015Q_AGPQ__6" localSheetId="13">#REF!</definedName>
    <definedName name="_PPOS015Q_AGPQ__6" localSheetId="14">#REF!</definedName>
    <definedName name="_PPOS015Q_AGPQ__6" localSheetId="15">#REF!</definedName>
    <definedName name="_PPOS015Q_AGPQ__6" localSheetId="16">#REF!</definedName>
    <definedName name="_PPOS015Q_AGPQ__6" localSheetId="17">#REF!</definedName>
    <definedName name="_PPOS015Q_AGPQ__6" localSheetId="18">#REF!</definedName>
    <definedName name="_PPOS015Q_AGPQ__6" localSheetId="20">#REF!</definedName>
    <definedName name="_PPOS015Q_AGPQ__6" localSheetId="21">#REF!</definedName>
    <definedName name="_PPOS015Q_AGPQ__6" localSheetId="3">#REF!</definedName>
    <definedName name="_PPOS015Q_AGPQ__6" localSheetId="11">#REF!</definedName>
    <definedName name="_PPOS015Q_AGPQ__6">#REF!</definedName>
    <definedName name="_q">#REF!</definedName>
    <definedName name="_R" localSheetId="13">#REF!</definedName>
    <definedName name="_R" localSheetId="14">#REF!</definedName>
    <definedName name="_R" localSheetId="15">#REF!</definedName>
    <definedName name="_R" localSheetId="16">#REF!</definedName>
    <definedName name="_R" localSheetId="17">#REF!</definedName>
    <definedName name="_R" localSheetId="18">#REF!</definedName>
    <definedName name="_R" localSheetId="20">#REF!</definedName>
    <definedName name="_R" localSheetId="21">#REF!</definedName>
    <definedName name="_R" localSheetId="22">#REF!</definedName>
    <definedName name="_r" localSheetId="7">#REF!</definedName>
    <definedName name="_R" localSheetId="3">#REF!</definedName>
    <definedName name="_R" localSheetId="11">#REF!</definedName>
    <definedName name="_r">#REF!</definedName>
    <definedName name="_R_1" localSheetId="13">#REF!</definedName>
    <definedName name="_R_1" localSheetId="14">#REF!</definedName>
    <definedName name="_R_1" localSheetId="15">#REF!</definedName>
    <definedName name="_R_1" localSheetId="16">#REF!</definedName>
    <definedName name="_R_1" localSheetId="17">#REF!</definedName>
    <definedName name="_R_1" localSheetId="18">#REF!</definedName>
    <definedName name="_R_1" localSheetId="20">#REF!</definedName>
    <definedName name="_R_1" localSheetId="21">#REF!</definedName>
    <definedName name="_R_1" localSheetId="3">#REF!</definedName>
    <definedName name="_R_1" localSheetId="11">#REF!</definedName>
    <definedName name="_R_1">#REF!</definedName>
    <definedName name="_RAN1">#REF!</definedName>
    <definedName name="_REA1.N10_" localSheetId="13">#REF!</definedName>
    <definedName name="_REA1.N10_" localSheetId="14">#REF!</definedName>
    <definedName name="_REA1.N10_" localSheetId="15">#REF!</definedName>
    <definedName name="_REA1.N10_" localSheetId="16">#REF!</definedName>
    <definedName name="_REA1.N10_" localSheetId="17">#REF!</definedName>
    <definedName name="_REA1.N10_" localSheetId="18">#REF!</definedName>
    <definedName name="_REA1.N10_" localSheetId="20">#REF!</definedName>
    <definedName name="_REA1.N10_" localSheetId="21">#REF!</definedName>
    <definedName name="_REA1.N10_" localSheetId="7">#REF!</definedName>
    <definedName name="_REA1.N10_" localSheetId="3">#REF!</definedName>
    <definedName name="_REA1.N10_" localSheetId="11">#REF!</definedName>
    <definedName name="_REA1.N10_">[2]Reforma!#REF!</definedName>
    <definedName name="_s">#REF!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20" hidden="1">#REF!</definedName>
    <definedName name="_Sort" localSheetId="21" hidden="1">#REF!</definedName>
    <definedName name="_Sort" localSheetId="7" hidden="1">#REF!</definedName>
    <definedName name="_Sort" localSheetId="3" hidden="1">#REF!</definedName>
    <definedName name="_Sort" localSheetId="11" hidden="1">#REF!</definedName>
    <definedName name="_Sort" hidden="1">#REF!</definedName>
    <definedName name="_TIT1">#REF!</definedName>
    <definedName name="_TIT2">#REF!</definedName>
    <definedName name="_TR2">#REF!</definedName>
    <definedName name="_U" localSheetId="13">#REF!</definedName>
    <definedName name="_U" localSheetId="14">#REF!</definedName>
    <definedName name="_U" localSheetId="15">#REF!</definedName>
    <definedName name="_U" localSheetId="16">#REF!</definedName>
    <definedName name="_U" localSheetId="17">#REF!</definedName>
    <definedName name="_U" localSheetId="18">#REF!</definedName>
    <definedName name="_U" localSheetId="20">#REF!</definedName>
    <definedName name="_U" localSheetId="21">#REF!</definedName>
    <definedName name="_U" localSheetId="7">#REF!</definedName>
    <definedName name="_U" localSheetId="3">#REF!</definedName>
    <definedName name="_U" localSheetId="11">#REF!</definedName>
    <definedName name="_U">#REF!</definedName>
    <definedName name="_wal1">#REF!</definedName>
    <definedName name="_wal10">#REF!</definedName>
    <definedName name="_wal11">#REF!</definedName>
    <definedName name="_wal12">#REF!</definedName>
    <definedName name="_wal13">#REF!</definedName>
    <definedName name="_wal14">#REF!</definedName>
    <definedName name="_wal15">#REF!</definedName>
    <definedName name="_wal16">#REF!</definedName>
    <definedName name="_wal2">#REF!</definedName>
    <definedName name="_wal3">#REF!</definedName>
    <definedName name="_wal5">#REF!</definedName>
    <definedName name="_wal6">#REF!</definedName>
    <definedName name="_wal7">#REF!</definedName>
    <definedName name="_wal8">#REF!</definedName>
    <definedName name="_wal9">#REF!</definedName>
    <definedName name="_WCS13_" localSheetId="13">#REF!</definedName>
    <definedName name="_WCS13_" localSheetId="14">#REF!</definedName>
    <definedName name="_WCS13_" localSheetId="15">#REF!</definedName>
    <definedName name="_WCS13_" localSheetId="16">#REF!</definedName>
    <definedName name="_WCS13_" localSheetId="17">#REF!</definedName>
    <definedName name="_WCS13_" localSheetId="18">#REF!</definedName>
    <definedName name="_WCS13_" localSheetId="20">#REF!</definedName>
    <definedName name="_WCS13_" localSheetId="21">#REF!</definedName>
    <definedName name="_WCS13_" localSheetId="7">#REF!</definedName>
    <definedName name="_WCS13_" localSheetId="3">#REF!</definedName>
    <definedName name="_WCS13_" localSheetId="11">#REF!</definedName>
    <definedName name="_WCS13_">[2]Reforma!#REF!</definedName>
    <definedName name="_WCS43_" localSheetId="13">#REF!</definedName>
    <definedName name="_WCS43_" localSheetId="14">#REF!</definedName>
    <definedName name="_WCS43_" localSheetId="15">#REF!</definedName>
    <definedName name="_WCS43_" localSheetId="16">#REF!</definedName>
    <definedName name="_WCS43_" localSheetId="17">#REF!</definedName>
    <definedName name="_WCS43_" localSheetId="18">#REF!</definedName>
    <definedName name="_WCS43_" localSheetId="20">#REF!</definedName>
    <definedName name="_WCS43_" localSheetId="21">#REF!</definedName>
    <definedName name="_WCS43_" localSheetId="7">#REF!</definedName>
    <definedName name="_WCS43_" localSheetId="3">#REF!</definedName>
    <definedName name="_WCS43_" localSheetId="11">#REF!</definedName>
    <definedName name="_WCS43_">[2]Reforma!#REF!</definedName>
    <definedName name="_WDCN1.S1_" localSheetId="13">#REF!</definedName>
    <definedName name="_WDCN1.S1_" localSheetId="14">#REF!</definedName>
    <definedName name="_WDCN1.S1_" localSheetId="15">#REF!</definedName>
    <definedName name="_WDCN1.S1_" localSheetId="16">#REF!</definedName>
    <definedName name="_WDCN1.S1_" localSheetId="17">#REF!</definedName>
    <definedName name="_WDCN1.S1_" localSheetId="18">#REF!</definedName>
    <definedName name="_WDCN1.S1_" localSheetId="20">#REF!</definedName>
    <definedName name="_WDCN1.S1_" localSheetId="21">#REF!</definedName>
    <definedName name="_WDCN1.S1_" localSheetId="7">#REF!</definedName>
    <definedName name="_WDCN1.S1_" localSheetId="3">#REF!</definedName>
    <definedName name="_WDCN1.S1_" localSheetId="11">#REF!</definedName>
    <definedName name="_WDCN1.S1_">[2]Reforma!#REF!</definedName>
    <definedName name="_WGZY_" localSheetId="13">#REF!</definedName>
    <definedName name="_WGZY_" localSheetId="14">#REF!</definedName>
    <definedName name="_WGZY_" localSheetId="15">#REF!</definedName>
    <definedName name="_WGZY_" localSheetId="16">#REF!</definedName>
    <definedName name="_WGZY_" localSheetId="17">#REF!</definedName>
    <definedName name="_WGZY_" localSheetId="18">#REF!</definedName>
    <definedName name="_WGZY_" localSheetId="20">#REF!</definedName>
    <definedName name="_WGZY_" localSheetId="21">#REF!</definedName>
    <definedName name="_WGZY_" localSheetId="7">#REF!</definedName>
    <definedName name="_WGZY_" localSheetId="3">#REF!</definedName>
    <definedName name="_WGZY_" localSheetId="11">#REF!</definedName>
    <definedName name="_WGZY_">#REF!</definedName>
    <definedName name="_WGZY__6" localSheetId="13">#REF!</definedName>
    <definedName name="_WGZY__6" localSheetId="14">#REF!</definedName>
    <definedName name="_WGZY__6" localSheetId="15">#REF!</definedName>
    <definedName name="_WGZY__6" localSheetId="16">#REF!</definedName>
    <definedName name="_WGZY__6" localSheetId="17">#REF!</definedName>
    <definedName name="_WGZY__6" localSheetId="18">#REF!</definedName>
    <definedName name="_WGZY__6" localSheetId="20">#REF!</definedName>
    <definedName name="_WGZY__6" localSheetId="21">#REF!</definedName>
    <definedName name="_WGZY__6" localSheetId="3">#REF!</definedName>
    <definedName name="_WGZY__6" localSheetId="11">#REF!</definedName>
    <definedName name="_WGZY__6">#REF!</definedName>
    <definedName name="_WICE1_" localSheetId="13">#REF!</definedName>
    <definedName name="_WICE1_" localSheetId="14">#REF!</definedName>
    <definedName name="_WICE1_" localSheetId="15">#REF!</definedName>
    <definedName name="_WICE1_" localSheetId="16">#REF!</definedName>
    <definedName name="_WICE1_" localSheetId="17">#REF!</definedName>
    <definedName name="_WICE1_" localSheetId="18">#REF!</definedName>
    <definedName name="_WICE1_" localSheetId="20">#REF!</definedName>
    <definedName name="_WICE1_" localSheetId="21">#REF!</definedName>
    <definedName name="_WICE1_" localSheetId="7">#REF!</definedName>
    <definedName name="_WICE1_" localSheetId="3">#REF!</definedName>
    <definedName name="_WICE1_" localSheetId="11">#REF!</definedName>
    <definedName name="_WICE1_">[2]Reforma!#REF!</definedName>
    <definedName name="_WIRA1.A8_" localSheetId="13">#REF!</definedName>
    <definedName name="_WIRA1.A8_" localSheetId="14">#REF!</definedName>
    <definedName name="_WIRA1.A8_" localSheetId="15">#REF!</definedName>
    <definedName name="_WIRA1.A8_" localSheetId="16">#REF!</definedName>
    <definedName name="_WIRA1.A8_" localSheetId="17">#REF!</definedName>
    <definedName name="_WIRA1.A8_" localSheetId="18">#REF!</definedName>
    <definedName name="_WIRA1.A8_" localSheetId="20">#REF!</definedName>
    <definedName name="_WIRA1.A8_" localSheetId="21">#REF!</definedName>
    <definedName name="_WIRA1.A8_" localSheetId="7">#REF!</definedName>
    <definedName name="_WIRA1.A8_" localSheetId="3">#REF!</definedName>
    <definedName name="_WIRA1.A8_" localSheetId="11">#REF!</definedName>
    <definedName name="_WIRA1.A8_">[2]Reforma!#REF!</definedName>
    <definedName name="_x">#REF!</definedName>
    <definedName name="_Y" localSheetId="13">#REF!</definedName>
    <definedName name="_Y" localSheetId="14">#REF!</definedName>
    <definedName name="_Y" localSheetId="15">#REF!</definedName>
    <definedName name="_Y" localSheetId="16">#REF!</definedName>
    <definedName name="_Y" localSheetId="17">#REF!</definedName>
    <definedName name="_Y" localSheetId="18">#REF!</definedName>
    <definedName name="_Y" localSheetId="20">#REF!</definedName>
    <definedName name="_Y" localSheetId="21">#REF!</definedName>
    <definedName name="_Y" localSheetId="3">#REF!</definedName>
    <definedName name="_Y" localSheetId="11">#REF!</definedName>
    <definedName name="_Y">#REF!</definedName>
    <definedName name="_Y_1" localSheetId="13">#REF!</definedName>
    <definedName name="_Y_1" localSheetId="14">#REF!</definedName>
    <definedName name="_Y_1" localSheetId="15">#REF!</definedName>
    <definedName name="_Y_1" localSheetId="16">#REF!</definedName>
    <definedName name="_Y_1" localSheetId="17">#REF!</definedName>
    <definedName name="_Y_1" localSheetId="18">#REF!</definedName>
    <definedName name="_Y_1" localSheetId="20">#REF!</definedName>
    <definedName name="_Y_1" localSheetId="21">#REF!</definedName>
    <definedName name="_Y_1" localSheetId="3">#REF!</definedName>
    <definedName name="_Y_1" localSheetId="11">#REF!</definedName>
    <definedName name="_Y_1">#REF!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18">#REF!</definedName>
    <definedName name="a" localSheetId="20">#REF!</definedName>
    <definedName name="a" localSheetId="21">#REF!</definedName>
    <definedName name="a" localSheetId="22">#REF!</definedName>
    <definedName name="A" localSheetId="7">#REF!</definedName>
    <definedName name="a" localSheetId="3">#REF!</definedName>
    <definedName name="a" localSheetId="11">#REF!</definedName>
    <definedName name="A" hidden="1">{#N/A,#N/A,FALSE,"Planilha";#N/A,#N/A,FALSE,"Resumo";#N/A,#N/A,FALSE,"Fisico";#N/A,#N/A,FALSE,"Financeiro";#N/A,#N/A,FALSE,"Financeiro"}</definedName>
    <definedName name="aa" localSheetId="13">#REF!</definedName>
    <definedName name="aa" localSheetId="14">#REF!</definedName>
    <definedName name="aa" localSheetId="15">#REF!</definedName>
    <definedName name="aa" localSheetId="16">#REF!</definedName>
    <definedName name="aa" localSheetId="17">#REF!</definedName>
    <definedName name="aa" localSheetId="18">#REF!</definedName>
    <definedName name="aa" localSheetId="20">#REF!</definedName>
    <definedName name="aa" localSheetId="21">#REF!</definedName>
    <definedName name="aa" localSheetId="7">#REF!</definedName>
    <definedName name="aa" localSheetId="3">#REF!</definedName>
    <definedName name="aa" localSheetId="11">#REF!</definedName>
    <definedName name="aa">#REF!</definedName>
    <definedName name="AAA" localSheetId="13">#REF!</definedName>
    <definedName name="AAA" localSheetId="14">#REF!</definedName>
    <definedName name="AAA" localSheetId="15">#REF!</definedName>
    <definedName name="AAA" localSheetId="16">#REF!</definedName>
    <definedName name="AAA" localSheetId="17">#REF!</definedName>
    <definedName name="AAA" localSheetId="18">#REF!</definedName>
    <definedName name="AAA" localSheetId="20">#REF!</definedName>
    <definedName name="AAA" localSheetId="21">#REF!</definedName>
    <definedName name="AAA" localSheetId="7">#REF!</definedName>
    <definedName name="AAA" localSheetId="3">#REF!</definedName>
    <definedName name="AAA" localSheetId="11">#REF!</definedName>
    <definedName name="AAA">#REF!</definedName>
    <definedName name="AAAA" localSheetId="13">#REF!</definedName>
    <definedName name="AAAA" localSheetId="14">#REF!</definedName>
    <definedName name="AAAA" localSheetId="15">#REF!</definedName>
    <definedName name="AAAA" localSheetId="16">#REF!</definedName>
    <definedName name="AAAA" localSheetId="17">#REF!</definedName>
    <definedName name="AAAA" localSheetId="18">#REF!</definedName>
    <definedName name="AAAA" localSheetId="20">#REF!</definedName>
    <definedName name="AAAA" localSheetId="21">#REF!</definedName>
    <definedName name="AAAA" localSheetId="7">#REF!</definedName>
    <definedName name="AAAA" localSheetId="3">#REF!</definedName>
    <definedName name="AAAA" localSheetId="11">#REF!</definedName>
    <definedName name="aaaa">#REF!</definedName>
    <definedName name="abc">#REF!</definedName>
    <definedName name="Ac" localSheetId="13">#REF!</definedName>
    <definedName name="Ac" localSheetId="14">#REF!</definedName>
    <definedName name="Ac" localSheetId="15">#REF!</definedName>
    <definedName name="Ac" localSheetId="16">#REF!</definedName>
    <definedName name="Ac" localSheetId="17">#REF!</definedName>
    <definedName name="Ac" localSheetId="18">#REF!</definedName>
    <definedName name="Ac" localSheetId="20">#REF!</definedName>
    <definedName name="Ac" localSheetId="21">#REF!</definedName>
    <definedName name="Ac" localSheetId="3">#REF!</definedName>
    <definedName name="Ac" localSheetId="11">#REF!</definedName>
    <definedName name="Ac">#REF!</definedName>
    <definedName name="acha.coluna" localSheetId="13">#REF!</definedName>
    <definedName name="acha.coluna" localSheetId="14">#REF!</definedName>
    <definedName name="acha.coluna" localSheetId="15">#REF!</definedName>
    <definedName name="acha.coluna" localSheetId="16">#REF!</definedName>
    <definedName name="acha.coluna" localSheetId="17">#REF!</definedName>
    <definedName name="acha.coluna" localSheetId="18">#REF!</definedName>
    <definedName name="acha.coluna" localSheetId="20">#REF!</definedName>
    <definedName name="acha.coluna" localSheetId="21">#REF!</definedName>
    <definedName name="acha.coluna" localSheetId="7">#REF!</definedName>
    <definedName name="acha.coluna" localSheetId="3">#REF!</definedName>
    <definedName name="acha.coluna" localSheetId="11">#REF!</definedName>
    <definedName name="acha.coluna">#REF!</definedName>
    <definedName name="acha.dados" localSheetId="13">#REF!</definedName>
    <definedName name="acha.dados" localSheetId="14">#REF!</definedName>
    <definedName name="acha.dados" localSheetId="15">#REF!</definedName>
    <definedName name="acha.dados" localSheetId="16">#REF!</definedName>
    <definedName name="acha.dados" localSheetId="17">#REF!</definedName>
    <definedName name="acha.dados" localSheetId="18">#REF!</definedName>
    <definedName name="acha.dados" localSheetId="20">#REF!</definedName>
    <definedName name="acha.dados" localSheetId="21">#REF!</definedName>
    <definedName name="acha.dados" localSheetId="7">#REF!</definedName>
    <definedName name="acha.dados" localSheetId="3">#REF!</definedName>
    <definedName name="acha.dados" localSheetId="11">#REF!</definedName>
    <definedName name="acha.dados">#REF!</definedName>
    <definedName name="acha.linha" localSheetId="13">#REF!</definedName>
    <definedName name="acha.linha" localSheetId="14">#REF!</definedName>
    <definedName name="acha.linha" localSheetId="15">#REF!</definedName>
    <definedName name="acha.linha" localSheetId="16">#REF!</definedName>
    <definedName name="acha.linha" localSheetId="17">#REF!</definedName>
    <definedName name="acha.linha" localSheetId="18">#REF!</definedName>
    <definedName name="acha.linha" localSheetId="20">#REF!</definedName>
    <definedName name="acha.linha" localSheetId="21">#REF!</definedName>
    <definedName name="acha.linha" localSheetId="7">#REF!</definedName>
    <definedName name="acha.linha" localSheetId="3">#REF!</definedName>
    <definedName name="acha.linha" localSheetId="11">#REF!</definedName>
    <definedName name="acha.linha">#REF!</definedName>
    <definedName name="Acomp">#REF!</definedName>
    <definedName name="agua">#REF!</definedName>
    <definedName name="alcool" localSheetId="13">#REF!</definedName>
    <definedName name="alcool" localSheetId="14">#REF!</definedName>
    <definedName name="alcool" localSheetId="15">#REF!</definedName>
    <definedName name="alcool" localSheetId="16">#REF!</definedName>
    <definedName name="alcool" localSheetId="17">#REF!</definedName>
    <definedName name="alcool" localSheetId="18">#REF!</definedName>
    <definedName name="alcool" localSheetId="20">#REF!</definedName>
    <definedName name="alcool" localSheetId="21">#REF!</definedName>
    <definedName name="alcool" localSheetId="7">#REF!</definedName>
    <definedName name="alcool" localSheetId="3">#REF!</definedName>
    <definedName name="alcool" localSheetId="11">#REF!</definedName>
    <definedName name="alcool">#REF!</definedName>
    <definedName name="ANA" localSheetId="13">#REF!</definedName>
    <definedName name="ANA" localSheetId="14">#REF!</definedName>
    <definedName name="ANA" localSheetId="15">#REF!</definedName>
    <definedName name="ANA" localSheetId="16">#REF!</definedName>
    <definedName name="ANA" localSheetId="17">#REF!</definedName>
    <definedName name="ANA" localSheetId="18">#REF!</definedName>
    <definedName name="ANA" localSheetId="20">#REF!</definedName>
    <definedName name="ANA" localSheetId="21">#REF!</definedName>
    <definedName name="ANA" localSheetId="7">#REF!</definedName>
    <definedName name="ANA" localSheetId="3">#REF!</definedName>
    <definedName name="ANA" localSheetId="11">#REF!</definedName>
    <definedName name="ana">[4]RESUMO!#REF!</definedName>
    <definedName name="ANO">#REF!</definedName>
    <definedName name="anscount" hidden="1">3</definedName>
    <definedName name="_xlnm.Extract">#REF!</definedName>
    <definedName name="_xlnm.Print_Area" localSheetId="33">BDI!$A$1:$H$52</definedName>
    <definedName name="_xlnm.Print_Area" localSheetId="13">'Composição-'!$A$1:$F$40</definedName>
    <definedName name="_xlnm.Print_Area" localSheetId="14">Composição1a!$A$1:$F$39</definedName>
    <definedName name="_xlnm.Print_Area" localSheetId="15">Composição2!$A$1:$F$37</definedName>
    <definedName name="_xlnm.Print_Area" localSheetId="16">Composição3a!$A$1:$I$53</definedName>
    <definedName name="_xlnm.Print_Area" localSheetId="17">Composição4!$A$1:$F$39</definedName>
    <definedName name="_xlnm.Print_Area" localSheetId="18">Composição5!$A$1:$F$39</definedName>
    <definedName name="_xlnm.Print_Area" localSheetId="19">Composição6!$A$1:$F$38</definedName>
    <definedName name="_xlnm.Print_Area" localSheetId="20">Composição7!$A$1:$F$39</definedName>
    <definedName name="_xlnm.Print_Area" localSheetId="21">Composição8!$A$1:$F$39</definedName>
    <definedName name="_xlnm.Print_Area" localSheetId="24">'CPU - 1'!$A$1:$G$35</definedName>
    <definedName name="_xlnm.Print_Area" localSheetId="25">'CPU - 2'!$A$1:$G$55</definedName>
    <definedName name="_xlnm.Print_Area" localSheetId="26">'CPU - 3'!$A$1:$G$59</definedName>
    <definedName name="_xlnm.Print_Area" localSheetId="27">'CPU - 4'!$A$1:$G$41</definedName>
    <definedName name="_xlnm.Print_Area" localSheetId="28">'CPU - 5'!$A$1:$G$40</definedName>
    <definedName name="_xlnm.Print_Area" localSheetId="29">'CPU - 6'!$A$1:$G$41</definedName>
    <definedName name="_xlnm.Print_Area" localSheetId="30">'CPU - 7'!$A$1:$G$41</definedName>
    <definedName name="_xlnm.Print_Area" localSheetId="23">'CPU I'!$A$1:$G$35</definedName>
    <definedName name="_xlnm.Print_Area" localSheetId="34">'CPU-cbuq'!$A$1:$G$46</definedName>
    <definedName name="_xlnm.Print_Area" localSheetId="22">'CPU''S'!$A$1:$G$5</definedName>
    <definedName name="_xlnm.Print_Area" localSheetId="31">'CPU-VII'!$A$1:$G$46</definedName>
    <definedName name="_xlnm.Print_Area" localSheetId="8">CRONOGRAMA!$A$1:$AB$66</definedName>
    <definedName name="_xlnm.Print_Area" localSheetId="10">DADOS!$A$1:$P$50</definedName>
    <definedName name="_xlnm.Print_Area" localSheetId="12">'MC D'!$A$1:$AE$303</definedName>
    <definedName name="_xlnm.Print_Area" localSheetId="7">'MC DESM'!$A$1:$N$14</definedName>
    <definedName name="_xlnm.Print_Area" localSheetId="3">'MC TERR'!$A$1:$AG$40</definedName>
    <definedName name="_xlnm.Print_Area" localSheetId="1">'MC-DRE'!$A$1:$Q$348</definedName>
    <definedName name="_xlnm.Print_Area" localSheetId="4">'MC-PAV'!$A$1:$X$56</definedName>
    <definedName name="_xlnm.Print_Area" localSheetId="6">'MC-PONTE'!$B$1:$L$583</definedName>
    <definedName name="_xlnm.Print_Area" localSheetId="2">'MC-TER'!$A$1:$Z$60</definedName>
    <definedName name="_xlnm.Print_Area" localSheetId="5">'Orç PONTE'!$A$1:$I$47</definedName>
    <definedName name="_xlnm.Print_Area" localSheetId="0">'PLANILHA GERAL'!$C$1:$K$279</definedName>
    <definedName name="_xlnm.Print_Area" localSheetId="11">'PREV INUNDAÇÕES'!$A$2:$H$135</definedName>
    <definedName name="_xlnm.Print_Area" localSheetId="9">RESUMO!$C$1:$H$25</definedName>
    <definedName name="_xlnm.Print_Area">#REF!</definedName>
    <definedName name="Área_impressão_IM" localSheetId="13">#REF!</definedName>
    <definedName name="Área_impressão_IM" localSheetId="14">#REF!</definedName>
    <definedName name="Área_impressão_IM" localSheetId="15">#REF!</definedName>
    <definedName name="Área_impressão_IM" localSheetId="16">#REF!</definedName>
    <definedName name="Área_impressão_IM" localSheetId="17">#REF!</definedName>
    <definedName name="Área_impressão_IM" localSheetId="18">#REF!</definedName>
    <definedName name="Área_impressão_IM" localSheetId="20">#REF!</definedName>
    <definedName name="Área_impressão_IM" localSheetId="21">#REF!</definedName>
    <definedName name="Área_impressão_IM" localSheetId="7">#REF!</definedName>
    <definedName name="Área_impressão_IM" localSheetId="3">#REF!</definedName>
    <definedName name="Área_impressão_IM" localSheetId="11">#REF!</definedName>
    <definedName name="Área_impressão_IM">#REF!</definedName>
    <definedName name="as">#REF!</definedName>
    <definedName name="Asfaltic" localSheetId="13">Plan1</definedName>
    <definedName name="Asfaltic" localSheetId="16">Plan1</definedName>
    <definedName name="Asfaltic" localSheetId="20">Plan1</definedName>
    <definedName name="Asfaltic" localSheetId="21">Plan1</definedName>
    <definedName name="Asfaltic" localSheetId="11">Plan1</definedName>
    <definedName name="Asfaltic">Plan1</definedName>
    <definedName name="Assentamento" localSheetId="13">#REF!</definedName>
    <definedName name="Assentamento" localSheetId="14">#REF!</definedName>
    <definedName name="Assentamento" localSheetId="15">#REF!</definedName>
    <definedName name="Assentamento" localSheetId="16">#REF!</definedName>
    <definedName name="Assentamento" localSheetId="17">#REF!</definedName>
    <definedName name="Assentamento" localSheetId="18">#REF!</definedName>
    <definedName name="Assentamento" localSheetId="20">#REF!</definedName>
    <definedName name="Assentamento" localSheetId="21">#REF!</definedName>
    <definedName name="Assentamento" localSheetId="7">#REF!</definedName>
    <definedName name="Assentamento" localSheetId="3">#REF!</definedName>
    <definedName name="Assentamento" localSheetId="11">#REF!</definedName>
    <definedName name="Assentamento">#REF!</definedName>
    <definedName name="Aterro_arenoso">#REF!</definedName>
    <definedName name="AUXILIARES" localSheetId="13">#REF!</definedName>
    <definedName name="AUXILIARES" localSheetId="14">#REF!</definedName>
    <definedName name="AUXILIARES" localSheetId="15">#REF!</definedName>
    <definedName name="AUXILIARES" localSheetId="16">#REF!</definedName>
    <definedName name="AUXILIARES" localSheetId="17">#REF!</definedName>
    <definedName name="AUXILIARES" localSheetId="18">#REF!</definedName>
    <definedName name="AUXILIARES" localSheetId="20">#REF!</definedName>
    <definedName name="AUXILIARES" localSheetId="21">#REF!</definedName>
    <definedName name="AUXILIARES" localSheetId="22">#REF!</definedName>
    <definedName name="AUXILIARES" localSheetId="7">#REF!</definedName>
    <definedName name="AUXILIARES" localSheetId="3">#REF!</definedName>
    <definedName name="AUXILIARES" localSheetId="11">#REF!</definedName>
    <definedName name="AUXILIARES">#REF!</definedName>
    <definedName name="b" localSheetId="13">#REF!</definedName>
    <definedName name="b" localSheetId="14">#REF!</definedName>
    <definedName name="b" localSheetId="15">#REF!</definedName>
    <definedName name="b" localSheetId="16">#REF!</definedName>
    <definedName name="b" localSheetId="17">#REF!</definedName>
    <definedName name="b" localSheetId="18">#REF!</definedName>
    <definedName name="b" localSheetId="20">#REF!</definedName>
    <definedName name="b" localSheetId="21">#REF!</definedName>
    <definedName name="b" localSheetId="7">#REF!</definedName>
    <definedName name="b" localSheetId="3">#REF!</definedName>
    <definedName name="b" localSheetId="11">#REF!</definedName>
    <definedName name="b">#REF!</definedName>
    <definedName name="BA" localSheetId="13">#REF!</definedName>
    <definedName name="BA" localSheetId="14">#REF!</definedName>
    <definedName name="BA" localSheetId="15">#REF!</definedName>
    <definedName name="BA" localSheetId="16">#REF!</definedName>
    <definedName name="BA" localSheetId="17">#REF!</definedName>
    <definedName name="BA" localSheetId="18">#REF!</definedName>
    <definedName name="BA" localSheetId="20">#REF!</definedName>
    <definedName name="BA" localSheetId="21">#REF!</definedName>
    <definedName name="BA" localSheetId="7">#REF!</definedName>
    <definedName name="BA" localSheetId="3">#REF!</definedName>
    <definedName name="BA" localSheetId="11">#REF!</definedName>
    <definedName name="BA">#REF!</definedName>
    <definedName name="BAA" localSheetId="13">#REF!</definedName>
    <definedName name="BAA" localSheetId="14">#REF!</definedName>
    <definedName name="BAA" localSheetId="15">#REF!</definedName>
    <definedName name="BAA" localSheetId="16">#REF!</definedName>
    <definedName name="BAA" localSheetId="17">#REF!</definedName>
    <definedName name="BAA" localSheetId="18">#REF!</definedName>
    <definedName name="BAA" localSheetId="20">#REF!</definedName>
    <definedName name="BAA" localSheetId="21">#REF!</definedName>
    <definedName name="BAA" localSheetId="7">#REF!</definedName>
    <definedName name="BAA" localSheetId="3">#REF!</definedName>
    <definedName name="BAA" localSheetId="11">#REF!</definedName>
    <definedName name="BAA">#REF!</definedName>
    <definedName name="BAB" localSheetId="13">#REF!</definedName>
    <definedName name="BAB" localSheetId="14">#REF!</definedName>
    <definedName name="BAB" localSheetId="15">#REF!</definedName>
    <definedName name="BAB" localSheetId="16">#REF!</definedName>
    <definedName name="BAB" localSheetId="17">#REF!</definedName>
    <definedName name="BAB" localSheetId="18">#REF!</definedName>
    <definedName name="BAB" localSheetId="20">#REF!</definedName>
    <definedName name="BAB" localSheetId="21">#REF!</definedName>
    <definedName name="BAB" localSheetId="7">#REF!</definedName>
    <definedName name="BAB" localSheetId="3">#REF!</definedName>
    <definedName name="BAB" localSheetId="11">#REF!</definedName>
    <definedName name="BAB">#REF!</definedName>
    <definedName name="BALSAS">#REF!</definedName>
    <definedName name="BANCO" localSheetId="13">#REF!</definedName>
    <definedName name="BANCO" localSheetId="14">#REF!</definedName>
    <definedName name="BANCO" localSheetId="15">#REF!</definedName>
    <definedName name="BANCO" localSheetId="16">#REF!</definedName>
    <definedName name="BANCO" localSheetId="17">#REF!</definedName>
    <definedName name="BANCO" localSheetId="18">#REF!</definedName>
    <definedName name="BANCO" localSheetId="20">#REF!</definedName>
    <definedName name="BANCO" localSheetId="21">#REF!</definedName>
    <definedName name="BANCO" localSheetId="7">#REF!</definedName>
    <definedName name="BANCO" localSheetId="3">#REF!</definedName>
    <definedName name="BANCO" localSheetId="11">#REF!</definedName>
    <definedName name="BANCO">#REF!</definedName>
    <definedName name="Banco_dados_IM" localSheetId="13">#REF!</definedName>
    <definedName name="Banco_dados_IM" localSheetId="14">#REF!</definedName>
    <definedName name="Banco_dados_IM" localSheetId="15">#REF!</definedName>
    <definedName name="Banco_dados_IM" localSheetId="16">#REF!</definedName>
    <definedName name="Banco_dados_IM" localSheetId="17">#REF!</definedName>
    <definedName name="Banco_dados_IM" localSheetId="18">#REF!</definedName>
    <definedName name="Banco_dados_IM" localSheetId="20">#REF!</definedName>
    <definedName name="Banco_dados_IM" localSheetId="21">#REF!</definedName>
    <definedName name="Banco_dados_IM" localSheetId="7">#REF!</definedName>
    <definedName name="Banco_dados_IM" localSheetId="3">#REF!</definedName>
    <definedName name="Banco_dados_IM" localSheetId="11">#REF!</definedName>
    <definedName name="Banco_dados_IM">#REF!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20">#REF!</definedName>
    <definedName name="_xlnm.Database" localSheetId="21">#REF!</definedName>
    <definedName name="_xlnm.Database" localSheetId="7">#REF!</definedName>
    <definedName name="_xlnm.Database" localSheetId="3">#REF!</definedName>
    <definedName name="_xlnm.Database" localSheetId="11">#REF!</definedName>
    <definedName name="_xlnm.Database">#REF!</definedName>
    <definedName name="Bancos">#REF!</definedName>
    <definedName name="BARRA_DO_CORDA">#REF!</definedName>
    <definedName name="barre">#REF!</definedName>
    <definedName name="bb" localSheetId="13">#REF!</definedName>
    <definedName name="bb" localSheetId="14">#REF!</definedName>
    <definedName name="bb" localSheetId="15">#REF!</definedName>
    <definedName name="bb" localSheetId="16">#REF!</definedName>
    <definedName name="bb" localSheetId="17">#REF!</definedName>
    <definedName name="bb" localSheetId="18">#REF!</definedName>
    <definedName name="bb" localSheetId="20">#REF!</definedName>
    <definedName name="bb" localSheetId="21">#REF!</definedName>
    <definedName name="bb" localSheetId="7">#REF!</definedName>
    <definedName name="bb" localSheetId="3">#REF!</definedName>
    <definedName name="bb" localSheetId="11">#REF!</definedName>
    <definedName name="bb">#REF!</definedName>
    <definedName name="bbb" localSheetId="13">#REF!</definedName>
    <definedName name="bbb" localSheetId="14">#REF!</definedName>
    <definedName name="bbb" localSheetId="15">#REF!</definedName>
    <definedName name="bbb" localSheetId="16">#REF!</definedName>
    <definedName name="bbb" localSheetId="17">#REF!</definedName>
    <definedName name="bbb" localSheetId="18">#REF!</definedName>
    <definedName name="bbb" localSheetId="20">#REF!</definedName>
    <definedName name="bbb" localSheetId="21">#REF!</definedName>
    <definedName name="bbb" localSheetId="7">#REF!</definedName>
    <definedName name="bbb" localSheetId="3">#REF!</definedName>
    <definedName name="bbb" localSheetId="11">#REF!</definedName>
    <definedName name="bbb">#REF!</definedName>
    <definedName name="bbcla">#REF!</definedName>
    <definedName name="BDI" localSheetId="13">#REF!</definedName>
    <definedName name="BDI" localSheetId="14">#REF!</definedName>
    <definedName name="BDI" localSheetId="15">#REF!</definedName>
    <definedName name="BDI" localSheetId="16">#REF!</definedName>
    <definedName name="BDI" localSheetId="17">#REF!</definedName>
    <definedName name="BDI" localSheetId="18">#REF!</definedName>
    <definedName name="BDI" localSheetId="20">#REF!</definedName>
    <definedName name="BDI" localSheetId="21">#REF!</definedName>
    <definedName name="BDI" localSheetId="7">#REF!</definedName>
    <definedName name="BDI" localSheetId="3">#REF!</definedName>
    <definedName name="BDI" localSheetId="11">#REF!</definedName>
    <definedName name="BDI">#REF!</definedName>
    <definedName name="BDI_1" localSheetId="13">#REF!</definedName>
    <definedName name="BDI_1" localSheetId="14">#REF!</definedName>
    <definedName name="BDI_1" localSheetId="15">#REF!</definedName>
    <definedName name="BDI_1" localSheetId="16">#REF!</definedName>
    <definedName name="BDI_1" localSheetId="17">#REF!</definedName>
    <definedName name="BDI_1" localSheetId="18">#REF!</definedName>
    <definedName name="BDI_1" localSheetId="20">#REF!</definedName>
    <definedName name="BDI_1" localSheetId="21">#REF!</definedName>
    <definedName name="BDI_1" localSheetId="7">#REF!</definedName>
    <definedName name="BDI_1" localSheetId="3">#REF!</definedName>
    <definedName name="BDI_1" localSheetId="11">#REF!</definedName>
    <definedName name="BDI_1">[5]RESUMO!#REF!</definedName>
    <definedName name="BDI_EQUIPAMENTOS">#REF!</definedName>
    <definedName name="BDI_REAL" localSheetId="13">#REF!</definedName>
    <definedName name="BDI_REAL" localSheetId="14">#REF!</definedName>
    <definedName name="BDI_REAL" localSheetId="15">#REF!</definedName>
    <definedName name="BDI_REAL" localSheetId="16">#REF!</definedName>
    <definedName name="BDI_REAL" localSheetId="17">#REF!</definedName>
    <definedName name="BDI_REAL" localSheetId="18">#REF!</definedName>
    <definedName name="BDI_REAL" localSheetId="20">#REF!</definedName>
    <definedName name="BDI_REAL" localSheetId="21">#REF!</definedName>
    <definedName name="BDI_REAL" localSheetId="7">#REF!</definedName>
    <definedName name="BDI_REAL" localSheetId="3">#REF!</definedName>
    <definedName name="BDI_REAL" localSheetId="11">#REF!</definedName>
    <definedName name="BDI_REAL">#REF!</definedName>
    <definedName name="BDI_SERVIÇOS">#REF!</definedName>
    <definedName name="BDIc" localSheetId="13">#REF!</definedName>
    <definedName name="BDIc" localSheetId="14">#REF!</definedName>
    <definedName name="BDIc" localSheetId="15">#REF!</definedName>
    <definedName name="BDIc" localSheetId="16">#REF!</definedName>
    <definedName name="BDIc" localSheetId="17">#REF!</definedName>
    <definedName name="BDIc" localSheetId="18">#REF!</definedName>
    <definedName name="BDIc" localSheetId="20">#REF!</definedName>
    <definedName name="BDIc" localSheetId="21">#REF!</definedName>
    <definedName name="BDIc" localSheetId="3">#REF!</definedName>
    <definedName name="BDIc" localSheetId="11">#REF!</definedName>
    <definedName name="BDIc">#REF!</definedName>
    <definedName name="BDIf" localSheetId="13">#REF!</definedName>
    <definedName name="BDIf" localSheetId="14">#REF!</definedName>
    <definedName name="BDIf" localSheetId="15">#REF!</definedName>
    <definedName name="BDIf" localSheetId="16">#REF!</definedName>
    <definedName name="BDIf" localSheetId="17">#REF!</definedName>
    <definedName name="BDIf" localSheetId="18">#REF!</definedName>
    <definedName name="BDIf" localSheetId="20">#REF!</definedName>
    <definedName name="BDIf" localSheetId="21">#REF!</definedName>
    <definedName name="BDIf" localSheetId="3">#REF!</definedName>
    <definedName name="BDIf" localSheetId="11">#REF!</definedName>
    <definedName name="BDIf">#REF!</definedName>
    <definedName name="BDIIVS" localSheetId="13">#REF!</definedName>
    <definedName name="BDIIVS" localSheetId="14">#REF!</definedName>
    <definedName name="BDIIVS" localSheetId="15">#REF!</definedName>
    <definedName name="BDIIVS" localSheetId="16">#REF!</definedName>
    <definedName name="BDIIVS" localSheetId="17">#REF!</definedName>
    <definedName name="BDIIVS" localSheetId="18">#REF!</definedName>
    <definedName name="BDIIVS" localSheetId="20">#REF!</definedName>
    <definedName name="BDIIVS" localSheetId="21">#REF!</definedName>
    <definedName name="BDIIVS" localSheetId="7">#REF!</definedName>
    <definedName name="BDIIVS" localSheetId="3">#REF!</definedName>
    <definedName name="BDIIVS" localSheetId="11">#REF!</definedName>
    <definedName name="BDIIVS">#REF!</definedName>
    <definedName name="BI" localSheetId="13">#REF!</definedName>
    <definedName name="BI" localSheetId="14">#REF!</definedName>
    <definedName name="BI" localSheetId="15">#REF!</definedName>
    <definedName name="BI" localSheetId="16">#REF!</definedName>
    <definedName name="BI" localSheetId="17">#REF!</definedName>
    <definedName name="BI" localSheetId="18">#REF!</definedName>
    <definedName name="BI" localSheetId="20">#REF!</definedName>
    <definedName name="BI" localSheetId="21">#REF!</definedName>
    <definedName name="BI" localSheetId="7">#REF!</definedName>
    <definedName name="BI" localSheetId="3">#REF!</definedName>
    <definedName name="BI" localSheetId="11">#REF!</definedName>
    <definedName name="BI">#REF!</definedName>
    <definedName name="Bloco1">#REF!</definedName>
    <definedName name="Bloco1.2">#REF!</definedName>
    <definedName name="Bloco1.3">#REF!</definedName>
    <definedName name="Bloco10">#REF!</definedName>
    <definedName name="Bloco11">#REF!</definedName>
    <definedName name="Bloco12">#REF!</definedName>
    <definedName name="Bloco13">#REF!</definedName>
    <definedName name="Bloco14">#REF!</definedName>
    <definedName name="Bloco15">#REF!</definedName>
    <definedName name="Bloco16">#REF!</definedName>
    <definedName name="Bloco17">#REF!</definedName>
    <definedName name="Bloco18">#REF!</definedName>
    <definedName name="Bloco19">#REF!</definedName>
    <definedName name="Bloco2">#REF!</definedName>
    <definedName name="Bloco20">#REF!</definedName>
    <definedName name="Bloco203">#REF!</definedName>
    <definedName name="Bloco21">#REF!</definedName>
    <definedName name="Bloco22">#REF!</definedName>
    <definedName name="Bloco23">#REF!</definedName>
    <definedName name="Bloco24">#REF!</definedName>
    <definedName name="Bloco25">#REF!</definedName>
    <definedName name="Bloco3">#REF!</definedName>
    <definedName name="Bloco4">#REF!</definedName>
    <definedName name="Bloco5">#REF!</definedName>
    <definedName name="Bloco6">#REF!</definedName>
    <definedName name="Bloco7">#REF!</definedName>
    <definedName name="Bloco8">#REF!</definedName>
    <definedName name="Bloco9">#REF!</definedName>
    <definedName name="BLOCOS" localSheetId="22" hidden="1">{#N/A,#N/A,FALSE,"Plan1"}</definedName>
    <definedName name="BLOCOS" localSheetId="7" hidden="1">{#N/A,#N/A,FALSE,"Plan1"}</definedName>
    <definedName name="BLOCOS" hidden="1">{#N/A,#N/A,FALSE,"Plan1"}</definedName>
    <definedName name="BM" localSheetId="13">#REF!</definedName>
    <definedName name="BM" localSheetId="14">#REF!</definedName>
    <definedName name="BM" localSheetId="15">#REF!</definedName>
    <definedName name="BM" localSheetId="16">#REF!</definedName>
    <definedName name="BM" localSheetId="17">#REF!</definedName>
    <definedName name="BM" localSheetId="18">#REF!</definedName>
    <definedName name="BM" localSheetId="20">#REF!</definedName>
    <definedName name="BM" localSheetId="21">#REF!</definedName>
    <definedName name="BM" localSheetId="7">#REF!</definedName>
    <definedName name="BM" localSheetId="3">#REF!</definedName>
    <definedName name="BM" localSheetId="11">#REF!</definedName>
    <definedName name="BM">#REF!</definedName>
    <definedName name="BMM" localSheetId="13">#REF!</definedName>
    <definedName name="BMM" localSheetId="14">#REF!</definedName>
    <definedName name="BMM" localSheetId="15">#REF!</definedName>
    <definedName name="BMM" localSheetId="16">#REF!</definedName>
    <definedName name="BMM" localSheetId="17">#REF!</definedName>
    <definedName name="BMM" localSheetId="18">#REF!</definedName>
    <definedName name="BMM" localSheetId="20">#REF!</definedName>
    <definedName name="BMM" localSheetId="21">#REF!</definedName>
    <definedName name="BMM" localSheetId="7">#REF!</definedName>
    <definedName name="BMM" localSheetId="3">#REF!</definedName>
    <definedName name="BMM" localSheetId="11">#REF!</definedName>
    <definedName name="BMM">#REF!</definedName>
    <definedName name="BMMM" localSheetId="13">#REF!</definedName>
    <definedName name="BMMM" localSheetId="14">#REF!</definedName>
    <definedName name="BMMM" localSheetId="15">#REF!</definedName>
    <definedName name="BMMM" localSheetId="16">#REF!</definedName>
    <definedName name="BMMM" localSheetId="17">#REF!</definedName>
    <definedName name="BMMM" localSheetId="18">#REF!</definedName>
    <definedName name="BMMM" localSheetId="20">#REF!</definedName>
    <definedName name="BMMM" localSheetId="21">#REF!</definedName>
    <definedName name="BMMM" localSheetId="7">#REF!</definedName>
    <definedName name="BMMM" localSheetId="3">#REF!</definedName>
    <definedName name="BMMM" localSheetId="11">#REF!</definedName>
    <definedName name="BMMM">#REF!</definedName>
    <definedName name="BN" localSheetId="13">#REF!</definedName>
    <definedName name="BN" localSheetId="14">#REF!</definedName>
    <definedName name="BN" localSheetId="15">#REF!</definedName>
    <definedName name="BN" localSheetId="16">#REF!</definedName>
    <definedName name="BN" localSheetId="17">#REF!</definedName>
    <definedName name="BN" localSheetId="18">#REF!</definedName>
    <definedName name="BN" localSheetId="20">#REF!</definedName>
    <definedName name="BN" localSheetId="21">#REF!</definedName>
    <definedName name="BN" localSheetId="7">#REF!</definedName>
    <definedName name="BN" localSheetId="3">#REF!</definedName>
    <definedName name="BN" localSheetId="11">#REF!</definedName>
    <definedName name="BN">#REF!</definedName>
    <definedName name="BNN" localSheetId="13">#REF!</definedName>
    <definedName name="BNN" localSheetId="14">#REF!</definedName>
    <definedName name="BNN" localSheetId="15">#REF!</definedName>
    <definedName name="BNN" localSheetId="16">#REF!</definedName>
    <definedName name="BNN" localSheetId="17">#REF!</definedName>
    <definedName name="BNN" localSheetId="18">#REF!</definedName>
    <definedName name="BNN" localSheetId="20">#REF!</definedName>
    <definedName name="BNN" localSheetId="21">#REF!</definedName>
    <definedName name="BNN" localSheetId="7">#REF!</definedName>
    <definedName name="BNN" localSheetId="3">#REF!</definedName>
    <definedName name="BNN" localSheetId="11">#REF!</definedName>
    <definedName name="BNN">#REF!</definedName>
    <definedName name="BNNN" localSheetId="13">#REF!</definedName>
    <definedName name="BNNN" localSheetId="14">#REF!</definedName>
    <definedName name="BNNN" localSheetId="15">#REF!</definedName>
    <definedName name="BNNN" localSheetId="16">#REF!</definedName>
    <definedName name="BNNN" localSheetId="17">#REF!</definedName>
    <definedName name="BNNN" localSheetId="18">#REF!</definedName>
    <definedName name="BNNN" localSheetId="20">#REF!</definedName>
    <definedName name="BNNN" localSheetId="21">#REF!</definedName>
    <definedName name="BNNN" localSheetId="7">#REF!</definedName>
    <definedName name="BNNN" localSheetId="3">#REF!</definedName>
    <definedName name="BNNN" localSheetId="11">#REF!</definedName>
    <definedName name="BNNN">#REF!</definedName>
    <definedName name="BO" localSheetId="13">#REF!</definedName>
    <definedName name="BO" localSheetId="14">#REF!</definedName>
    <definedName name="BO" localSheetId="15">#REF!</definedName>
    <definedName name="BO" localSheetId="16">#REF!</definedName>
    <definedName name="BO" localSheetId="17">#REF!</definedName>
    <definedName name="BO" localSheetId="18">#REF!</definedName>
    <definedName name="BO" localSheetId="20">#REF!</definedName>
    <definedName name="BO" localSheetId="21">#REF!</definedName>
    <definedName name="BO" localSheetId="7">#REF!</definedName>
    <definedName name="BO" localSheetId="3">#REF!</definedName>
    <definedName name="BO" localSheetId="11">#REF!</definedName>
    <definedName name="BO">#REF!</definedName>
    <definedName name="Bomba_putzmeister" localSheetId="13">#REF!</definedName>
    <definedName name="Bomba_putzmeister" localSheetId="14">#REF!</definedName>
    <definedName name="Bomba_putzmeister" localSheetId="15">#REF!</definedName>
    <definedName name="Bomba_putzmeister" localSheetId="16">#REF!</definedName>
    <definedName name="Bomba_putzmeister" localSheetId="17">#REF!</definedName>
    <definedName name="Bomba_putzmeister" localSheetId="18">#REF!</definedName>
    <definedName name="Bomba_putzmeister" localSheetId="20">#REF!</definedName>
    <definedName name="Bomba_putzmeister" localSheetId="21">#REF!</definedName>
    <definedName name="Bomba_putzmeister" localSheetId="7">#REF!</definedName>
    <definedName name="Bomba_putzmeister" localSheetId="3">#REF!</definedName>
    <definedName name="Bomba_putzmeister" localSheetId="11">#REF!</definedName>
    <definedName name="Bomba_putzmeister">#REF!</definedName>
    <definedName name="BR" localSheetId="13">#REF!</definedName>
    <definedName name="BR" localSheetId="14">#REF!</definedName>
    <definedName name="BR" localSheetId="15">#REF!</definedName>
    <definedName name="BR" localSheetId="16">#REF!</definedName>
    <definedName name="BR" localSheetId="17">#REF!</definedName>
    <definedName name="BR" localSheetId="18">#REF!</definedName>
    <definedName name="BR" localSheetId="20">#REF!</definedName>
    <definedName name="BR" localSheetId="21">#REF!</definedName>
    <definedName name="BR" localSheetId="7">#REF!</definedName>
    <definedName name="BR" localSheetId="3">#REF!</definedName>
    <definedName name="BR" localSheetId="11">#REF!</definedName>
    <definedName name="BR">#REF!</definedName>
    <definedName name="Búfalo">#REF!</definedName>
    <definedName name="ca" localSheetId="13">#REF!</definedName>
    <definedName name="ca" localSheetId="14">#REF!</definedName>
    <definedName name="ca" localSheetId="15">#REF!</definedName>
    <definedName name="ca" localSheetId="16">#REF!</definedName>
    <definedName name="ca" localSheetId="17">#REF!</definedName>
    <definedName name="ca" localSheetId="18">#REF!</definedName>
    <definedName name="ca" localSheetId="20">#REF!</definedName>
    <definedName name="ca" localSheetId="21">#REF!</definedName>
    <definedName name="ca" localSheetId="7">#REF!</definedName>
    <definedName name="ca" localSheetId="3">#REF!</definedName>
    <definedName name="ca" localSheetId="11">#REF!</definedName>
    <definedName name="ca">#REF!</definedName>
    <definedName name="calinsumos">#REF!</definedName>
    <definedName name="calpunit">#REF!</definedName>
    <definedName name="CAROLINA">#REF!</definedName>
    <definedName name="Carrinho_de_mão">#REF!</definedName>
    <definedName name="Cat">#REF!</definedName>
    <definedName name="Causas_de_Rescisão">#REF!</definedName>
    <definedName name="CBO">#REF!</definedName>
    <definedName name="CCCCCCCC" localSheetId="22" hidden="1">{#N/A,#N/A,FALSE,"Plan1"}</definedName>
    <definedName name="CCCCCCCC" localSheetId="7" hidden="1">{#N/A,#N/A,FALSE,"Plan1"}</definedName>
    <definedName name="CCCCCCCC" hidden="1">{#N/A,#N/A,FALSE,"Plan1"}</definedName>
    <definedName name="CINSMG">#REF!</definedName>
    <definedName name="CNPJ">'[6]Cad.Fornecedores'!$A$1:$A$65536</definedName>
    <definedName name="Código" localSheetId="13">#REF!</definedName>
    <definedName name="Código" localSheetId="14">#REF!</definedName>
    <definedName name="Código" localSheetId="15">#REF!</definedName>
    <definedName name="Código" localSheetId="16">#REF!</definedName>
    <definedName name="Código" localSheetId="17">#REF!</definedName>
    <definedName name="Código" localSheetId="18">#REF!</definedName>
    <definedName name="Código" localSheetId="20">#REF!</definedName>
    <definedName name="Código" localSheetId="21">#REF!</definedName>
    <definedName name="Código" localSheetId="7">#REF!</definedName>
    <definedName name="Código" localSheetId="3">#REF!</definedName>
    <definedName name="Código" localSheetId="11">#REF!</definedName>
    <definedName name="Código">#REF!</definedName>
    <definedName name="CODO">#REF!</definedName>
    <definedName name="CODOR18">#REF!</definedName>
    <definedName name="CODOR19">#REF!</definedName>
    <definedName name="CODOR2">#REF!</definedName>
    <definedName name="CODOR3">#REF!</definedName>
    <definedName name="CODOR4">#REF!</definedName>
    <definedName name="CODOR5">#REF!</definedName>
    <definedName name="CODOR6">#REF!</definedName>
    <definedName name="CODOR7">#REF!</definedName>
    <definedName name="CODOR8">#REF!</definedName>
    <definedName name="CODOR9">#REF!</definedName>
    <definedName name="COMP" localSheetId="13">#REF!</definedName>
    <definedName name="COMP" localSheetId="14">#REF!</definedName>
    <definedName name="COMP" localSheetId="15">#REF!</definedName>
    <definedName name="COMP" localSheetId="16">#REF!</definedName>
    <definedName name="COMP" localSheetId="17">#REF!</definedName>
    <definedName name="COMP" localSheetId="18">#REF!</definedName>
    <definedName name="COMP" localSheetId="20">#REF!</definedName>
    <definedName name="COMP" localSheetId="21">#REF!</definedName>
    <definedName name="COMP" localSheetId="7">#REF!</definedName>
    <definedName name="COMP" localSheetId="3">#REF!</definedName>
    <definedName name="COMP" localSheetId="11">#REF!</definedName>
    <definedName name="COMP">#REF!</definedName>
    <definedName name="Compactador_de_placa_vibratória">#REF!</definedName>
    <definedName name="compeqp" localSheetId="13">#REF!</definedName>
    <definedName name="compeqp" localSheetId="14">#REF!</definedName>
    <definedName name="compeqp" localSheetId="15">#REF!</definedName>
    <definedName name="compeqp" localSheetId="16">#REF!</definedName>
    <definedName name="compeqp" localSheetId="17">#REF!</definedName>
    <definedName name="compeqp" localSheetId="18">#REF!</definedName>
    <definedName name="compeqp" localSheetId="20">#REF!</definedName>
    <definedName name="compeqp" localSheetId="21">#REF!</definedName>
    <definedName name="compeqp" localSheetId="7">#REF!</definedName>
    <definedName name="compeqp" localSheetId="3">#REF!</definedName>
    <definedName name="compeqp" localSheetId="11">#REF!</definedName>
    <definedName name="compeqp">#REF!</definedName>
    <definedName name="COMPOSIÇÃO">#REF!</definedName>
    <definedName name="Comprimento_Equivalente" localSheetId="13">#REF!</definedName>
    <definedName name="Comprimento_Equivalente" localSheetId="14">#REF!</definedName>
    <definedName name="Comprimento_Equivalente" localSheetId="15">#REF!</definedName>
    <definedName name="Comprimento_Equivalente" localSheetId="16">#REF!</definedName>
    <definedName name="Comprimento_Equivalente" localSheetId="17">#REF!</definedName>
    <definedName name="Comprimento_Equivalente" localSheetId="18">#REF!</definedName>
    <definedName name="Comprimento_Equivalente" localSheetId="20">#REF!</definedName>
    <definedName name="Comprimento_Equivalente" localSheetId="21">#REF!</definedName>
    <definedName name="Comprimento_Equivalente" localSheetId="7">#REF!</definedName>
    <definedName name="Comprimento_Equivalente" localSheetId="3">#REF!</definedName>
    <definedName name="Comprimento_Equivalente" localSheetId="11">#REF!</definedName>
    <definedName name="Comprimento_Equivalente">#REF!</definedName>
    <definedName name="Condulete_de_alumínio_diam_20mm">#REF!</definedName>
    <definedName name="Condulete_de_alumínio_diam_25mm">#REF!</definedName>
    <definedName name="Condulete_de_alumínio_diam_32mm">#REF!</definedName>
    <definedName name="CONSTRUÇÕES_E_COMÉRCIO">#REF!</definedName>
    <definedName name="Consumodemateriais" localSheetId="13">Plan1</definedName>
    <definedName name="Consumodemateriais" localSheetId="14">Plan1</definedName>
    <definedName name="Consumodemateriais" localSheetId="15">Plan1</definedName>
    <definedName name="Consumodemateriais" localSheetId="16">Plan1</definedName>
    <definedName name="Consumodemateriais" localSheetId="17">Plan1</definedName>
    <definedName name="Consumodemateriais" localSheetId="18">Plan1</definedName>
    <definedName name="Consumodemateriais" localSheetId="20">Plan1</definedName>
    <definedName name="Consumodemateriais" localSheetId="21">Plan1</definedName>
    <definedName name="Consumodemateriais" localSheetId="22">Plan1</definedName>
    <definedName name="Consumodemateriais" localSheetId="7">Plan1</definedName>
    <definedName name="Consumodemateriais" localSheetId="3">Plan1</definedName>
    <definedName name="Consumodemateriais" localSheetId="11">Plan1</definedName>
    <definedName name="Consumodemateriais">Plan1</definedName>
    <definedName name="contratada" localSheetId="13">#REF!</definedName>
    <definedName name="contratada" localSheetId="14">#REF!</definedName>
    <definedName name="contratada" localSheetId="15">#REF!</definedName>
    <definedName name="contratada" localSheetId="16">#REF!</definedName>
    <definedName name="contratada" localSheetId="17">#REF!</definedName>
    <definedName name="contratada" localSheetId="18">#REF!</definedName>
    <definedName name="contratada" localSheetId="20">#REF!</definedName>
    <definedName name="contratada" localSheetId="21">#REF!</definedName>
    <definedName name="contratada" localSheetId="7">#REF!</definedName>
    <definedName name="contratada" localSheetId="3">#REF!</definedName>
    <definedName name="contratada" localSheetId="11">#REF!</definedName>
    <definedName name="contratada">#REF!</definedName>
    <definedName name="CONTRATO">#REF!</definedName>
    <definedName name="copia" localSheetId="13">#REF!</definedName>
    <definedName name="copia" localSheetId="14">#REF!</definedName>
    <definedName name="copia" localSheetId="15">#REF!</definedName>
    <definedName name="copia" localSheetId="16">#REF!</definedName>
    <definedName name="copia" localSheetId="17">#REF!</definedName>
    <definedName name="copia" localSheetId="18">#REF!</definedName>
    <definedName name="copia" localSheetId="20">#REF!</definedName>
    <definedName name="copia" localSheetId="21">#REF!</definedName>
    <definedName name="copia" localSheetId="7">#REF!</definedName>
    <definedName name="copia" localSheetId="3">#REF!</definedName>
    <definedName name="copia" localSheetId="11">#REF!</definedName>
    <definedName name="copia">#REF!</definedName>
    <definedName name="Cosanpa" localSheetId="13">Plan1</definedName>
    <definedName name="Cosanpa" localSheetId="16">Plan1</definedName>
    <definedName name="Cosanpa" localSheetId="20">Plan1</definedName>
    <definedName name="Cosanpa" localSheetId="21">Plan1</definedName>
    <definedName name="Cosanpa" localSheetId="11">Plan1</definedName>
    <definedName name="Cosanpa">Plan1</definedName>
    <definedName name="CRECHE" localSheetId="13">#REF!</definedName>
    <definedName name="CRECHE" localSheetId="14">#REF!</definedName>
    <definedName name="CRECHE" localSheetId="15">#REF!</definedName>
    <definedName name="CRECHE" localSheetId="16">#REF!</definedName>
    <definedName name="CRECHE" localSheetId="17">#REF!</definedName>
    <definedName name="CRECHE" localSheetId="18">#REF!</definedName>
    <definedName name="CRECHE" localSheetId="20">#REF!</definedName>
    <definedName name="CRECHE" localSheetId="21">#REF!</definedName>
    <definedName name="CRECHE" localSheetId="7">#REF!</definedName>
    <definedName name="CRECHE" localSheetId="3">#REF!</definedName>
    <definedName name="CRECHE" localSheetId="11">#REF!</definedName>
    <definedName name="CRECHE">#REF!</definedName>
    <definedName name="crono" localSheetId="13">#REF!</definedName>
    <definedName name="crono" localSheetId="14">#REF!</definedName>
    <definedName name="crono" localSheetId="15">#REF!</definedName>
    <definedName name="crono" localSheetId="16">#REF!</definedName>
    <definedName name="crono" localSheetId="17">#REF!</definedName>
    <definedName name="crono" localSheetId="18">#REF!</definedName>
    <definedName name="crono" localSheetId="20">#REF!</definedName>
    <definedName name="crono" localSheetId="21">#REF!</definedName>
    <definedName name="crono" localSheetId="3">#REF!</definedName>
    <definedName name="crono" localSheetId="11">#REF!</definedName>
    <definedName name="crono">#REF!</definedName>
    <definedName name="cronomodificado" localSheetId="13">#REF!</definedName>
    <definedName name="cronomodificado" localSheetId="14">#REF!</definedName>
    <definedName name="cronomodificado" localSheetId="15">#REF!</definedName>
    <definedName name="cronomodificado" localSheetId="16">#REF!</definedName>
    <definedName name="cronomodificado" localSheetId="17">#REF!</definedName>
    <definedName name="cronomodificado" localSheetId="18">#REF!</definedName>
    <definedName name="cronomodificado" localSheetId="20">#REF!</definedName>
    <definedName name="cronomodificado" localSheetId="21">#REF!</definedName>
    <definedName name="cronomodificado" localSheetId="7">#REF!</definedName>
    <definedName name="cronomodificado" localSheetId="3">#REF!</definedName>
    <definedName name="cronomodificado" localSheetId="11">#REF!</definedName>
    <definedName name="cronomodificado">'[7]Planilha PROJETISTA'!#REF!</definedName>
    <definedName name="CU" localSheetId="13">#REF!</definedName>
    <definedName name="CU" localSheetId="14">#REF!</definedName>
    <definedName name="CU" localSheetId="15">#REF!</definedName>
    <definedName name="CU" localSheetId="16">#REF!</definedName>
    <definedName name="CU" localSheetId="17">#REF!</definedName>
    <definedName name="CU" localSheetId="18">#REF!</definedName>
    <definedName name="CU" localSheetId="20">#REF!</definedName>
    <definedName name="CU" localSheetId="21">#REF!</definedName>
    <definedName name="CU" localSheetId="7">#REF!</definedName>
    <definedName name="CU" localSheetId="3">#REF!</definedName>
    <definedName name="CU" localSheetId="11">#REF!</definedName>
    <definedName name="CU">#REF!</definedName>
    <definedName name="Curva_de_ferro_galvanizado_pesado_diam_20mm">#REF!</definedName>
    <definedName name="Curva_de_ferro_galvanizado_pesado_diam_25mm">#REF!</definedName>
    <definedName name="Curva_de_ferro_galvanizado_pesado_diam_32mm">#REF!</definedName>
    <definedName name="CustoReal" localSheetId="13">#REF!</definedName>
    <definedName name="CustoReal" localSheetId="14">#REF!</definedName>
    <definedName name="CustoReal" localSheetId="15">#REF!</definedName>
    <definedName name="CustoReal" localSheetId="16">#REF!</definedName>
    <definedName name="CustoReal" localSheetId="17">#REF!</definedName>
    <definedName name="CustoReal" localSheetId="18">#REF!</definedName>
    <definedName name="CustoReal" localSheetId="20">#REF!</definedName>
    <definedName name="CustoReal" localSheetId="21">#REF!</definedName>
    <definedName name="CustoReal" localSheetId="3">#REF!</definedName>
    <definedName name="CustoReal" localSheetId="11">#REF!</definedName>
    <definedName name="CustoReal">#REF!</definedName>
    <definedName name="D" localSheetId="13">#REF!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20">#REF!</definedName>
    <definedName name="D" localSheetId="21">#REF!</definedName>
    <definedName name="D" localSheetId="22">#REF!</definedName>
    <definedName name="d" localSheetId="7" hidden="1">{#N/A,#N/A,FALSE,"Planilha";#N/A,#N/A,FALSE,"Resumo";#N/A,#N/A,FALSE,"Fisico";#N/A,#N/A,FALSE,"Financeiro";#N/A,#N/A,FALSE,"Financeiro"}</definedName>
    <definedName name="D" localSheetId="3">#REF!</definedName>
    <definedName name="D" localSheetId="11">#REF!</definedName>
    <definedName name="d" hidden="1">{#N/A,#N/A,FALSE,"Planilha";#N/A,#N/A,FALSE,"Resumo";#N/A,#N/A,FALSE,"Fisico";#N/A,#N/A,FALSE,"Financeiro";#N/A,#N/A,FALSE,"Financeiro"}</definedName>
    <definedName name="dados">#REF!</definedName>
    <definedName name="dados10">#REF!</definedName>
    <definedName name="dados2">#REF!</definedName>
    <definedName name="dados3">#REF!</definedName>
    <definedName name="dados5">#REF!</definedName>
    <definedName name="DADOS6">#REF!</definedName>
    <definedName name="dadosadutora">#REF!</definedName>
    <definedName name="dadosesgoto">#REF!</definedName>
    <definedName name="Data" localSheetId="13">#REF!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20">#REF!</definedName>
    <definedName name="Data" localSheetId="21">#REF!</definedName>
    <definedName name="Data" localSheetId="22">#REF!</definedName>
    <definedName name="Data" localSheetId="3">#REF!</definedName>
    <definedName name="Data" localSheetId="11">#REF!</definedName>
    <definedName name="Data">#REF!</definedName>
    <definedName name="database" localSheetId="13">#REF!</definedName>
    <definedName name="database" localSheetId="14">#REF!</definedName>
    <definedName name="database" localSheetId="15">#REF!</definedName>
    <definedName name="database" localSheetId="16">#REF!</definedName>
    <definedName name="database" localSheetId="17">#REF!</definedName>
    <definedName name="database" localSheetId="18">#REF!</definedName>
    <definedName name="database" localSheetId="20">#REF!</definedName>
    <definedName name="database" localSheetId="21">#REF!</definedName>
    <definedName name="database" localSheetId="7">#REF!</definedName>
    <definedName name="database" localSheetId="3">#REF!</definedName>
    <definedName name="database" localSheetId="11">#REF!</definedName>
    <definedName name="database">#REF!</definedName>
    <definedName name="DD" localSheetId="13">#REF!</definedName>
    <definedName name="DD" localSheetId="14">#REF!</definedName>
    <definedName name="DD" localSheetId="15">#REF!</definedName>
    <definedName name="DD" localSheetId="16">#REF!</definedName>
    <definedName name="DD" localSheetId="17">#REF!</definedName>
    <definedName name="DD" localSheetId="18">#REF!</definedName>
    <definedName name="DD" localSheetId="20">#REF!</definedName>
    <definedName name="DD" localSheetId="21">#REF!</definedName>
    <definedName name="DD" localSheetId="7">#REF!</definedName>
    <definedName name="DD" localSheetId="3">#REF!</definedName>
    <definedName name="DD" localSheetId="11">#REF!</definedName>
    <definedName name="DD">#REF!</definedName>
    <definedName name="DDDDDD" localSheetId="13">Plan1</definedName>
    <definedName name="DDDDDD" localSheetId="14">Plan1</definedName>
    <definedName name="DDDDDD" localSheetId="15">Plan1</definedName>
    <definedName name="DDDDDD" localSheetId="16">Plan1</definedName>
    <definedName name="DDDDDD" localSheetId="17">Plan1</definedName>
    <definedName name="DDDDDD" localSheetId="18">Plan1</definedName>
    <definedName name="DDDDDD" localSheetId="20">Plan1</definedName>
    <definedName name="DDDDDD" localSheetId="21">Plan1</definedName>
    <definedName name="DDDDDD" localSheetId="22">Plan1</definedName>
    <definedName name="DDDDDD" localSheetId="7">Plan1</definedName>
    <definedName name="DDDDDD" localSheetId="3">Plan1</definedName>
    <definedName name="DDDDDD" localSheetId="11">Plan1</definedName>
    <definedName name="DDDDDD">Plan1</definedName>
    <definedName name="def" hidden="1">#REF!</definedName>
    <definedName name="delta" localSheetId="13">Plan1</definedName>
    <definedName name="delta" localSheetId="16">Plan1</definedName>
    <definedName name="delta" localSheetId="20">Plan1</definedName>
    <definedName name="delta" localSheetId="21">Plan1</definedName>
    <definedName name="delta" localSheetId="11">Plan1</definedName>
    <definedName name="delta">Plan1</definedName>
    <definedName name="deltacastanhal" localSheetId="13">Plan1</definedName>
    <definedName name="deltacastanhal" localSheetId="16">Plan1</definedName>
    <definedName name="deltacastanhal" localSheetId="20">Plan1</definedName>
    <definedName name="deltacastanhal" localSheetId="21">Plan1</definedName>
    <definedName name="deltacastanhal" localSheetId="11">Plan1</definedName>
    <definedName name="deltacastanhal">Plan1</definedName>
    <definedName name="demo">#REF!</definedName>
    <definedName name="dep.lote">#REF!</definedName>
    <definedName name="Df" localSheetId="13">#REF!</definedName>
    <definedName name="Df" localSheetId="14">#REF!</definedName>
    <definedName name="Df" localSheetId="15">#REF!</definedName>
    <definedName name="Df" localSheetId="16">#REF!</definedName>
    <definedName name="Df" localSheetId="17">#REF!</definedName>
    <definedName name="Df" localSheetId="18">#REF!</definedName>
    <definedName name="Df" localSheetId="20">#REF!</definedName>
    <definedName name="Df" localSheetId="21">#REF!</definedName>
    <definedName name="Df" localSheetId="3">#REF!</definedName>
    <definedName name="Df" localSheetId="11">#REF!</definedName>
    <definedName name="Df">#REF!</definedName>
    <definedName name="DFGGBB" hidden="1">#REF!</definedName>
    <definedName name="dflt1">'[8]Personalizar demonstrativo'!$F$21</definedName>
    <definedName name="dflt2">'[8]Personalizar demonstrativo'!$G$21</definedName>
    <definedName name="DFSGJSDFGLSDG" localSheetId="13">#REF!</definedName>
    <definedName name="DFSGJSDFGLSDG" localSheetId="14">#REF!</definedName>
    <definedName name="DFSGJSDFGLSDG" localSheetId="15">#REF!</definedName>
    <definedName name="DFSGJSDFGLSDG" localSheetId="16">#REF!</definedName>
    <definedName name="DFSGJSDFGLSDG" localSheetId="17">#REF!</definedName>
    <definedName name="DFSGJSDFGLSDG" localSheetId="18">#REF!</definedName>
    <definedName name="DFSGJSDFGLSDG" localSheetId="20">#REF!</definedName>
    <definedName name="DFSGJSDFGLSDG" localSheetId="21">#REF!</definedName>
    <definedName name="DFSGJSDFGLSDG" localSheetId="7">#REF!</definedName>
    <definedName name="DFSGJSDFGLSDG" localSheetId="3">#REF!</definedName>
    <definedName name="DFSGJSDFGLSDG" localSheetId="11">#REF!</definedName>
    <definedName name="DFSGJSDFGLSDG">[9]PLANILHA!#REF!</definedName>
    <definedName name="DIAMETRO" localSheetId="13">#REF!</definedName>
    <definedName name="DIAMETRO" localSheetId="14">#REF!</definedName>
    <definedName name="DIAMETRO" localSheetId="15">#REF!</definedName>
    <definedName name="DIAMETRO" localSheetId="16">#REF!</definedName>
    <definedName name="DIAMETRO" localSheetId="17">#REF!</definedName>
    <definedName name="DIAMETRO" localSheetId="18">#REF!</definedName>
    <definedName name="DIAMETRO" localSheetId="20">#REF!</definedName>
    <definedName name="DIAMETRO" localSheetId="21">#REF!</definedName>
    <definedName name="DIAMETRO" localSheetId="7">#REF!</definedName>
    <definedName name="DIAMETRO" localSheetId="3">#REF!</definedName>
    <definedName name="DIAMETRO" localSheetId="11">#REF!</definedName>
    <definedName name="DIAMETRO">#REF!</definedName>
    <definedName name="diesel" localSheetId="13">#REF!</definedName>
    <definedName name="diesel" localSheetId="14">#REF!</definedName>
    <definedName name="diesel" localSheetId="15">#REF!</definedName>
    <definedName name="diesel" localSheetId="16">#REF!</definedName>
    <definedName name="diesel" localSheetId="17">#REF!</definedName>
    <definedName name="diesel" localSheetId="18">#REF!</definedName>
    <definedName name="diesel" localSheetId="20">#REF!</definedName>
    <definedName name="diesel" localSheetId="21">#REF!</definedName>
    <definedName name="diesel" localSheetId="7">#REF!</definedName>
    <definedName name="diesel" localSheetId="3">#REF!</definedName>
    <definedName name="diesel" localSheetId="11">#REF!</definedName>
    <definedName name="diesel">#REF!</definedName>
    <definedName name="DIST_PV1">#REF!</definedName>
    <definedName name="Drive" localSheetId="13">#REF!</definedName>
    <definedName name="Drive" localSheetId="14">#REF!</definedName>
    <definedName name="Drive" localSheetId="15">#REF!</definedName>
    <definedName name="Drive" localSheetId="16">#REF!</definedName>
    <definedName name="Drive" localSheetId="17">#REF!</definedName>
    <definedName name="Drive" localSheetId="18">#REF!</definedName>
    <definedName name="Drive" localSheetId="20">#REF!</definedName>
    <definedName name="Drive" localSheetId="21">#REF!</definedName>
    <definedName name="Drive" localSheetId="7">#REF!</definedName>
    <definedName name="Drive" localSheetId="3">#REF!</definedName>
    <definedName name="Drive" localSheetId="11">#REF!</definedName>
    <definedName name="Drive">#REF!</definedName>
    <definedName name="DS">#REF!</definedName>
    <definedName name="dsafsafasf">#REF!</definedName>
    <definedName name="E" localSheetId="13">#REF!</definedName>
    <definedName name="E" localSheetId="14">#REF!</definedName>
    <definedName name="E" localSheetId="15">#REF!</definedName>
    <definedName name="E" localSheetId="16">#REF!</definedName>
    <definedName name="E" localSheetId="17">#REF!</definedName>
    <definedName name="E" localSheetId="18">#REF!</definedName>
    <definedName name="E" localSheetId="20">#REF!</definedName>
    <definedName name="E" localSheetId="21">#REF!</definedName>
    <definedName name="E" localSheetId="22">#REF!</definedName>
    <definedName name="E" localSheetId="3">#REF!</definedName>
    <definedName name="E" localSheetId="11">#REF!</definedName>
    <definedName name="E">#REF!</definedName>
    <definedName name="EDER">#REF!</definedName>
    <definedName name="ee" localSheetId="13">#REF!</definedName>
    <definedName name="ee" localSheetId="14">#REF!</definedName>
    <definedName name="ee" localSheetId="15">#REF!</definedName>
    <definedName name="ee" localSheetId="16">#REF!</definedName>
    <definedName name="ee" localSheetId="17">#REF!</definedName>
    <definedName name="ee" localSheetId="18">#REF!</definedName>
    <definedName name="ee" localSheetId="20">#REF!</definedName>
    <definedName name="ee" localSheetId="21">#REF!</definedName>
    <definedName name="ee" localSheetId="22">#REF!</definedName>
    <definedName name="EE" localSheetId="7">#REF!</definedName>
    <definedName name="ee" localSheetId="3">#REF!</definedName>
    <definedName name="ee" localSheetId="11">#REF!</definedName>
    <definedName name="EE">#REF!</definedName>
    <definedName name="EEEEE" localSheetId="13">#REF!</definedName>
    <definedName name="EEEEE" localSheetId="14">#REF!</definedName>
    <definedName name="EEEEE" localSheetId="15">#REF!</definedName>
    <definedName name="EEEEE" localSheetId="16">#REF!</definedName>
    <definedName name="EEEEE" localSheetId="17">#REF!</definedName>
    <definedName name="EEEEE" localSheetId="18">#REF!</definedName>
    <definedName name="EEEEE" localSheetId="20">#REF!</definedName>
    <definedName name="EEEEE" localSheetId="21">#REF!</definedName>
    <definedName name="EEEEE" localSheetId="3">#REF!</definedName>
    <definedName name="EEEEE" localSheetId="11">#REF!</definedName>
    <definedName name="EEEEE">#REF!</definedName>
    <definedName name="Eletroduto_de_ferro_galvanizado_pesado_diam_20mm">#REF!</definedName>
    <definedName name="Eletroduto_de_ferro_galvanizado_pesado_diam_25mm">#REF!</definedName>
    <definedName name="Eletroduto_de_ferro_galvanizado_pesado_diam_32mm">#REF!</definedName>
    <definedName name="Encarregado">#REF!</definedName>
    <definedName name="ENG_PROD">#REF!</definedName>
    <definedName name="EQPTO" localSheetId="13">#REF!</definedName>
    <definedName name="EQPTO" localSheetId="14">#REF!</definedName>
    <definedName name="EQPTO" localSheetId="15">#REF!</definedName>
    <definedName name="EQPTO" localSheetId="16">#REF!</definedName>
    <definedName name="EQPTO" localSheetId="17">#REF!</definedName>
    <definedName name="EQPTO" localSheetId="18">#REF!</definedName>
    <definedName name="EQPTO" localSheetId="20">#REF!</definedName>
    <definedName name="EQPTO" localSheetId="21">#REF!</definedName>
    <definedName name="EQPTO" localSheetId="7">#REF!</definedName>
    <definedName name="EQPTO" localSheetId="3">#REF!</definedName>
    <definedName name="EQPTO" localSheetId="11">#REF!</definedName>
    <definedName name="EQPTO">#REF!</definedName>
    <definedName name="equipamento" localSheetId="13">#REF!</definedName>
    <definedName name="equipamento" localSheetId="14">#REF!</definedName>
    <definedName name="equipamento" localSheetId="15">#REF!</definedName>
    <definedName name="equipamento" localSheetId="16">#REF!</definedName>
    <definedName name="equipamento" localSheetId="17">#REF!</definedName>
    <definedName name="equipamento" localSheetId="18">#REF!</definedName>
    <definedName name="equipamento" localSheetId="20">#REF!</definedName>
    <definedName name="equipamento" localSheetId="21">#REF!</definedName>
    <definedName name="equipamento" localSheetId="7">#REF!</definedName>
    <definedName name="equipamento" localSheetId="3">#REF!</definedName>
    <definedName name="equipamento" localSheetId="11">#REF!</definedName>
    <definedName name="equipamento">#REF!</definedName>
    <definedName name="ER" localSheetId="13">#REF!</definedName>
    <definedName name="ER" localSheetId="14">#REF!</definedName>
    <definedName name="ER" localSheetId="15">#REF!</definedName>
    <definedName name="ER" localSheetId="16">#REF!</definedName>
    <definedName name="ER" localSheetId="17">#REF!</definedName>
    <definedName name="ER" localSheetId="18">#REF!</definedName>
    <definedName name="ER" localSheetId="20">#REF!</definedName>
    <definedName name="ER" localSheetId="21">#REF!</definedName>
    <definedName name="ER" localSheetId="3">#REF!</definedName>
    <definedName name="ER" localSheetId="11">#REF!</definedName>
    <definedName name="ER">#REF!</definedName>
    <definedName name="errrru" localSheetId="13">Plan1</definedName>
    <definedName name="errrru" localSheetId="16">Plan1</definedName>
    <definedName name="errrru" localSheetId="20">Plan1</definedName>
    <definedName name="errrru" localSheetId="21">Plan1</definedName>
    <definedName name="errrru" localSheetId="11">Plan1</definedName>
    <definedName name="errrru">Plan1</definedName>
    <definedName name="ES" localSheetId="13">#REF!</definedName>
    <definedName name="ES" localSheetId="14">#REF!</definedName>
    <definedName name="ES" localSheetId="15">#REF!</definedName>
    <definedName name="ES" localSheetId="16">#REF!</definedName>
    <definedName name="ES" localSheetId="17">#REF!</definedName>
    <definedName name="ES" localSheetId="18">#REF!</definedName>
    <definedName name="ES" localSheetId="20">#REF!</definedName>
    <definedName name="ES" localSheetId="21">#REF!</definedName>
    <definedName name="ES" localSheetId="3">#REF!</definedName>
    <definedName name="ES" localSheetId="11">#REF!</definedName>
    <definedName name="ES">#REF!</definedName>
    <definedName name="ESCAV.MEC.CLAM.SHEL.DEP.LAT">#REF!</definedName>
    <definedName name="ESCAV.MEC.RETRO.DEP.LAT">#REF!</definedName>
    <definedName name="Est">#REF!</definedName>
    <definedName name="Estado_Civil" localSheetId="22">#REF!</definedName>
    <definedName name="Estado_Civil">#REF!</definedName>
    <definedName name="eu" localSheetId="22" hidden="1">{#N/A,#N/A,FALSE,"MO (2)"}</definedName>
    <definedName name="eu" localSheetId="7" hidden="1">{#N/A,#N/A,FALSE,"MO (2)"}</definedName>
    <definedName name="eu" hidden="1">{#N/A,#N/A,FALSE,"MO (2)"}</definedName>
    <definedName name="ex" localSheetId="13">#REF!</definedName>
    <definedName name="ex" localSheetId="14">#REF!</definedName>
    <definedName name="ex" localSheetId="15">#REF!</definedName>
    <definedName name="ex" localSheetId="16">#REF!</definedName>
    <definedName name="ex" localSheetId="17">#REF!</definedName>
    <definedName name="ex" localSheetId="18">#REF!</definedName>
    <definedName name="ex" localSheetId="20">#REF!</definedName>
    <definedName name="ex" localSheetId="21">#REF!</definedName>
    <definedName name="ex" localSheetId="7">#REF!</definedName>
    <definedName name="ex" localSheetId="3">#REF!</definedName>
    <definedName name="ex" localSheetId="11">#REF!</definedName>
    <definedName name="ex">#REF!</definedName>
    <definedName name="Excel_BuiltIn__FilterDatabase">#REF!</definedName>
    <definedName name="Excel_BuiltIn__FilterDatabase_10">#REF!</definedName>
    <definedName name="Excel_BuiltIn__FilterDatabase_11" localSheetId="13">#REF!</definedName>
    <definedName name="Excel_BuiltIn__FilterDatabase_11" localSheetId="14">#REF!</definedName>
    <definedName name="Excel_BuiltIn__FilterDatabase_11" localSheetId="15">#REF!</definedName>
    <definedName name="Excel_BuiltIn__FilterDatabase_11" localSheetId="16">#REF!</definedName>
    <definedName name="Excel_BuiltIn__FilterDatabase_11" localSheetId="17">#REF!</definedName>
    <definedName name="Excel_BuiltIn__FilterDatabase_11" localSheetId="18">#REF!</definedName>
    <definedName name="Excel_BuiltIn__FilterDatabase_11" localSheetId="20">#REF!</definedName>
    <definedName name="Excel_BuiltIn__FilterDatabase_11" localSheetId="21">#REF!</definedName>
    <definedName name="Excel_BuiltIn__FilterDatabase_11" localSheetId="3">#REF!</definedName>
    <definedName name="Excel_BuiltIn__FilterDatabase_11" localSheetId="11">#REF!</definedName>
    <definedName name="Excel_BuiltIn__FilterDatabase_11">#REF!</definedName>
    <definedName name="Excel_BuiltIn__FilterDatabase_12" localSheetId="13">#REF!</definedName>
    <definedName name="Excel_BuiltIn__FilterDatabase_12" localSheetId="14">#REF!</definedName>
    <definedName name="Excel_BuiltIn__FilterDatabase_12" localSheetId="15">#REF!</definedName>
    <definedName name="Excel_BuiltIn__FilterDatabase_12" localSheetId="16">#REF!</definedName>
    <definedName name="Excel_BuiltIn__FilterDatabase_12" localSheetId="17">#REF!</definedName>
    <definedName name="Excel_BuiltIn__FilterDatabase_12" localSheetId="18">#REF!</definedName>
    <definedName name="Excel_BuiltIn__FilterDatabase_12" localSheetId="20">#REF!</definedName>
    <definedName name="Excel_BuiltIn__FilterDatabase_12" localSheetId="21">#REF!</definedName>
    <definedName name="Excel_BuiltIn__FilterDatabase_12" localSheetId="3">#REF!</definedName>
    <definedName name="Excel_BuiltIn__FilterDatabase_12" localSheetId="11">#REF!</definedName>
    <definedName name="Excel_BuiltIn__FilterDatabase_12">#REF!</definedName>
    <definedName name="Excel_BuiltIn__FilterDatabase_14">#REF!</definedName>
    <definedName name="Excel_BuiltIn__FilterDatabase_2" localSheetId="13">#REF!</definedName>
    <definedName name="Excel_BuiltIn__FilterDatabase_2" localSheetId="14">#REF!</definedName>
    <definedName name="Excel_BuiltIn__FilterDatabase_2" localSheetId="15">#REF!</definedName>
    <definedName name="Excel_BuiltIn__FilterDatabase_2" localSheetId="16">#REF!</definedName>
    <definedName name="Excel_BuiltIn__FilterDatabase_2" localSheetId="17">#REF!</definedName>
    <definedName name="Excel_BuiltIn__FilterDatabase_2" localSheetId="18">#REF!</definedName>
    <definedName name="Excel_BuiltIn__FilterDatabase_2" localSheetId="20">#REF!</definedName>
    <definedName name="Excel_BuiltIn__FilterDatabase_2" localSheetId="21">#REF!</definedName>
    <definedName name="Excel_BuiltIn__FilterDatabase_2" localSheetId="3">#REF!</definedName>
    <definedName name="Excel_BuiltIn__FilterDatabase_2" localSheetId="11">#REF!</definedName>
    <definedName name="Excel_BuiltIn__FilterDatabase_2">#REF!</definedName>
    <definedName name="Excel_BuiltIn__FilterDatabase_3" localSheetId="13">#REF!</definedName>
    <definedName name="Excel_BuiltIn__FilterDatabase_3" localSheetId="14">#REF!</definedName>
    <definedName name="Excel_BuiltIn__FilterDatabase_3" localSheetId="15">#REF!</definedName>
    <definedName name="Excel_BuiltIn__FilterDatabase_3" localSheetId="16">#REF!</definedName>
    <definedName name="Excel_BuiltIn__FilterDatabase_3" localSheetId="17">#REF!</definedName>
    <definedName name="Excel_BuiltIn__FilterDatabase_3" localSheetId="18">#REF!</definedName>
    <definedName name="Excel_BuiltIn__FilterDatabase_3" localSheetId="20">#REF!</definedName>
    <definedName name="Excel_BuiltIn__FilterDatabase_3" localSheetId="21">#REF!</definedName>
    <definedName name="Excel_BuiltIn__FilterDatabase_3" localSheetId="3">#REF!</definedName>
    <definedName name="Excel_BuiltIn__FilterDatabase_3" localSheetId="11">#REF!</definedName>
    <definedName name="Excel_BuiltIn__FilterDatabase_3">#REF!</definedName>
    <definedName name="Excel_BuiltIn__FilterDatabase_4" localSheetId="13">#REF!</definedName>
    <definedName name="Excel_BuiltIn__FilterDatabase_4" localSheetId="14">#REF!</definedName>
    <definedName name="Excel_BuiltIn__FilterDatabase_4" localSheetId="15">#REF!</definedName>
    <definedName name="Excel_BuiltIn__FilterDatabase_4" localSheetId="16">#REF!</definedName>
    <definedName name="Excel_BuiltIn__FilterDatabase_4" localSheetId="17">#REF!</definedName>
    <definedName name="Excel_BuiltIn__FilterDatabase_4" localSheetId="18">#REF!</definedName>
    <definedName name="Excel_BuiltIn__FilterDatabase_4" localSheetId="20">#REF!</definedName>
    <definedName name="Excel_BuiltIn__FilterDatabase_4" localSheetId="21">#REF!</definedName>
    <definedName name="Excel_BuiltIn__FilterDatabase_4" localSheetId="3">#REF!</definedName>
    <definedName name="Excel_BuiltIn__FilterDatabase_4" localSheetId="11">#REF!</definedName>
    <definedName name="Excel_BuiltIn__FilterDatabase_4">#REF!</definedName>
    <definedName name="Excel_BuiltIn__FilterDatabase_5" localSheetId="13">#REF!</definedName>
    <definedName name="Excel_BuiltIn__FilterDatabase_5" localSheetId="14">#REF!</definedName>
    <definedName name="Excel_BuiltIn__FilterDatabase_5" localSheetId="15">#REF!</definedName>
    <definedName name="Excel_BuiltIn__FilterDatabase_5" localSheetId="16">#REF!</definedName>
    <definedName name="Excel_BuiltIn__FilterDatabase_5" localSheetId="17">#REF!</definedName>
    <definedName name="Excel_BuiltIn__FilterDatabase_5" localSheetId="18">#REF!</definedName>
    <definedName name="Excel_BuiltIn__FilterDatabase_5" localSheetId="20">#REF!</definedName>
    <definedName name="Excel_BuiltIn__FilterDatabase_5" localSheetId="21">#REF!</definedName>
    <definedName name="Excel_BuiltIn__FilterDatabase_5" localSheetId="3">#REF!</definedName>
    <definedName name="Excel_BuiltIn__FilterDatabase_5" localSheetId="11">#REF!</definedName>
    <definedName name="Excel_BuiltIn__FilterDatabase_5">#REF!</definedName>
    <definedName name="Excel_BuiltIn__FilterDatabase_6" localSheetId="13">#REF!</definedName>
    <definedName name="Excel_BuiltIn__FilterDatabase_6" localSheetId="14">#REF!</definedName>
    <definedName name="Excel_BuiltIn__FilterDatabase_6" localSheetId="15">#REF!</definedName>
    <definedName name="Excel_BuiltIn__FilterDatabase_6" localSheetId="16">#REF!</definedName>
    <definedName name="Excel_BuiltIn__FilterDatabase_6" localSheetId="17">#REF!</definedName>
    <definedName name="Excel_BuiltIn__FilterDatabase_6" localSheetId="18">#REF!</definedName>
    <definedName name="Excel_BuiltIn__FilterDatabase_6" localSheetId="20">#REF!</definedName>
    <definedName name="Excel_BuiltIn__FilterDatabase_6" localSheetId="21">#REF!</definedName>
    <definedName name="Excel_BuiltIn__FilterDatabase_6" localSheetId="3">#REF!</definedName>
    <definedName name="Excel_BuiltIn__FilterDatabase_6" localSheetId="11">#REF!</definedName>
    <definedName name="Excel_BuiltIn__FilterDatabase_6">#REF!</definedName>
    <definedName name="Excel_BuiltIn__FilterDatabase_7" localSheetId="13">#REF!</definedName>
    <definedName name="Excel_BuiltIn__FilterDatabase_7" localSheetId="14">#REF!</definedName>
    <definedName name="Excel_BuiltIn__FilterDatabase_7" localSheetId="15">#REF!</definedName>
    <definedName name="Excel_BuiltIn__FilterDatabase_7" localSheetId="16">#REF!</definedName>
    <definedName name="Excel_BuiltIn__FilterDatabase_7" localSheetId="17">#REF!</definedName>
    <definedName name="Excel_BuiltIn__FilterDatabase_7" localSheetId="18">#REF!</definedName>
    <definedName name="Excel_BuiltIn__FilterDatabase_7" localSheetId="20">#REF!</definedName>
    <definedName name="Excel_BuiltIn__FilterDatabase_7" localSheetId="21">#REF!</definedName>
    <definedName name="Excel_BuiltIn__FilterDatabase_7" localSheetId="3">#REF!</definedName>
    <definedName name="Excel_BuiltIn__FilterDatabase_7" localSheetId="11">#REF!</definedName>
    <definedName name="Excel_BuiltIn__FilterDatabase_7">#REF!</definedName>
    <definedName name="Excel_BuiltIn__FilterDatabase_8" localSheetId="13">#REF!</definedName>
    <definedName name="Excel_BuiltIn__FilterDatabase_8" localSheetId="14">#REF!</definedName>
    <definedName name="Excel_BuiltIn__FilterDatabase_8" localSheetId="15">#REF!</definedName>
    <definedName name="Excel_BuiltIn__FilterDatabase_8" localSheetId="16">#REF!</definedName>
    <definedName name="Excel_BuiltIn__FilterDatabase_8" localSheetId="17">#REF!</definedName>
    <definedName name="Excel_BuiltIn__FilterDatabase_8" localSheetId="18">#REF!</definedName>
    <definedName name="Excel_BuiltIn__FilterDatabase_8" localSheetId="20">#REF!</definedName>
    <definedName name="Excel_BuiltIn__FilterDatabase_8" localSheetId="21">#REF!</definedName>
    <definedName name="Excel_BuiltIn__FilterDatabase_8" localSheetId="3">#REF!</definedName>
    <definedName name="Excel_BuiltIn__FilterDatabase_8" localSheetId="11">#REF!</definedName>
    <definedName name="Excel_BuiltIn__FilterDatabase_8">#REF!</definedName>
    <definedName name="Excel_BuiltIn__FilterDatabase_9" localSheetId="13">#REF!</definedName>
    <definedName name="Excel_BuiltIn__FilterDatabase_9" localSheetId="14">#REF!</definedName>
    <definedName name="Excel_BuiltIn__FilterDatabase_9" localSheetId="15">#REF!</definedName>
    <definedName name="Excel_BuiltIn__FilterDatabase_9" localSheetId="16">#REF!</definedName>
    <definedName name="Excel_BuiltIn__FilterDatabase_9" localSheetId="17">#REF!</definedName>
    <definedName name="Excel_BuiltIn__FilterDatabase_9" localSheetId="18">#REF!</definedName>
    <definedName name="Excel_BuiltIn__FilterDatabase_9" localSheetId="20">#REF!</definedName>
    <definedName name="Excel_BuiltIn__FilterDatabase_9" localSheetId="21">#REF!</definedName>
    <definedName name="Excel_BuiltIn__FilterDatabase_9" localSheetId="3">#REF!</definedName>
    <definedName name="Excel_BuiltIn__FilterDatabase_9" localSheetId="11">#REF!</definedName>
    <definedName name="Excel_BuiltIn__FilterDatabase_9">#REF!</definedName>
    <definedName name="Excel_BuiltIn_Database" localSheetId="13">#REF!</definedName>
    <definedName name="Excel_BuiltIn_Database" localSheetId="14">#REF!</definedName>
    <definedName name="Excel_BuiltIn_Database" localSheetId="15">#REF!</definedName>
    <definedName name="Excel_BuiltIn_Database" localSheetId="16">#REF!</definedName>
    <definedName name="Excel_BuiltIn_Database" localSheetId="17">#REF!</definedName>
    <definedName name="Excel_BuiltIn_Database" localSheetId="18">#REF!</definedName>
    <definedName name="Excel_BuiltIn_Database" localSheetId="20">#REF!</definedName>
    <definedName name="Excel_BuiltIn_Database" localSheetId="21">#REF!</definedName>
    <definedName name="Excel_BuiltIn_Database" localSheetId="3">#REF!</definedName>
    <definedName name="Excel_BuiltIn_Database" localSheetId="11">#REF!</definedName>
    <definedName name="Excel_BuiltIn_Database">#REF!</definedName>
    <definedName name="Excel_BuiltIn_Database_1" localSheetId="13">#REF!</definedName>
    <definedName name="Excel_BuiltIn_Database_1" localSheetId="14">#REF!</definedName>
    <definedName name="Excel_BuiltIn_Database_1" localSheetId="15">#REF!</definedName>
    <definedName name="Excel_BuiltIn_Database_1" localSheetId="16">#REF!</definedName>
    <definedName name="Excel_BuiltIn_Database_1" localSheetId="17">#REF!</definedName>
    <definedName name="Excel_BuiltIn_Database_1" localSheetId="18">#REF!</definedName>
    <definedName name="Excel_BuiltIn_Database_1" localSheetId="20">#REF!</definedName>
    <definedName name="Excel_BuiltIn_Database_1" localSheetId="21">#REF!</definedName>
    <definedName name="Excel_BuiltIn_Database_1" localSheetId="3">#REF!</definedName>
    <definedName name="Excel_BuiltIn_Database_1" localSheetId="11">#REF!</definedName>
    <definedName name="Excel_BuiltIn_Database_1">#REF!</definedName>
    <definedName name="Excel_BuiltIn_Database_6" localSheetId="13">#REF!</definedName>
    <definedName name="Excel_BuiltIn_Database_6" localSheetId="14">#REF!</definedName>
    <definedName name="Excel_BuiltIn_Database_6" localSheetId="15">#REF!</definedName>
    <definedName name="Excel_BuiltIn_Database_6" localSheetId="16">#REF!</definedName>
    <definedName name="Excel_BuiltIn_Database_6" localSheetId="17">#REF!</definedName>
    <definedName name="Excel_BuiltIn_Database_6" localSheetId="18">#REF!</definedName>
    <definedName name="Excel_BuiltIn_Database_6" localSheetId="20">#REF!</definedName>
    <definedName name="Excel_BuiltIn_Database_6" localSheetId="21">#REF!</definedName>
    <definedName name="Excel_BuiltIn_Database_6" localSheetId="3">#REF!</definedName>
    <definedName name="Excel_BuiltIn_Database_6" localSheetId="11">#REF!</definedName>
    <definedName name="Excel_BuiltIn_Database_6">#REF!</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6_1">#REF!</definedName>
    <definedName name="Excel_BuiltIn_Print_Area_2">#REF!</definedName>
    <definedName name="Excel_BuiltIn_Print_Area_2_1" localSheetId="13">#REF!</definedName>
    <definedName name="Excel_BuiltIn_Print_Area_2_1" localSheetId="14">#REF!</definedName>
    <definedName name="Excel_BuiltIn_Print_Area_2_1" localSheetId="15">#REF!</definedName>
    <definedName name="Excel_BuiltIn_Print_Area_2_1" localSheetId="16">#REF!</definedName>
    <definedName name="Excel_BuiltIn_Print_Area_2_1" localSheetId="17">#REF!</definedName>
    <definedName name="Excel_BuiltIn_Print_Area_2_1" localSheetId="18">#REF!</definedName>
    <definedName name="Excel_BuiltIn_Print_Area_2_1" localSheetId="20">#REF!</definedName>
    <definedName name="Excel_BuiltIn_Print_Area_2_1" localSheetId="21">#REF!</definedName>
    <definedName name="Excel_BuiltIn_Print_Area_2_1" localSheetId="7">#REF!</definedName>
    <definedName name="Excel_BuiltIn_Print_Area_2_1" localSheetId="3">#REF!</definedName>
    <definedName name="Excel_BuiltIn_Print_Area_2_1" localSheetId="11">#REF!</definedName>
    <definedName name="Excel_BuiltIn_Print_Area_2_1">#REF!</definedName>
    <definedName name="Excel_BuiltIn_Print_Area_3" localSheetId="13">#REF!</definedName>
    <definedName name="Excel_BuiltIn_Print_Area_3" localSheetId="14">#REF!</definedName>
    <definedName name="Excel_BuiltIn_Print_Area_3" localSheetId="15">#REF!</definedName>
    <definedName name="Excel_BuiltIn_Print_Area_3" localSheetId="16">#REF!</definedName>
    <definedName name="Excel_BuiltIn_Print_Area_3" localSheetId="17">#REF!</definedName>
    <definedName name="Excel_BuiltIn_Print_Area_3" localSheetId="18">#REF!</definedName>
    <definedName name="Excel_BuiltIn_Print_Area_3" localSheetId="20">#REF!</definedName>
    <definedName name="Excel_BuiltIn_Print_Area_3" localSheetId="21">#REF!</definedName>
    <definedName name="Excel_BuiltIn_Print_Area_3" localSheetId="3">#REF!</definedName>
    <definedName name="Excel_BuiltIn_Print_Area_3" localSheetId="11">#REF!</definedName>
    <definedName name="Excel_BuiltIn_Print_Area_3">#REF!</definedName>
    <definedName name="Excel_BuiltIn_Print_Area_4" localSheetId="13">#REF!</definedName>
    <definedName name="Excel_BuiltIn_Print_Area_4" localSheetId="14">#REF!</definedName>
    <definedName name="Excel_BuiltIn_Print_Area_4" localSheetId="15">#REF!</definedName>
    <definedName name="Excel_BuiltIn_Print_Area_4" localSheetId="16">#REF!</definedName>
    <definedName name="Excel_BuiltIn_Print_Area_4" localSheetId="17">#REF!</definedName>
    <definedName name="Excel_BuiltIn_Print_Area_4" localSheetId="18">#REF!</definedName>
    <definedName name="Excel_BuiltIn_Print_Area_4" localSheetId="20">#REF!</definedName>
    <definedName name="Excel_BuiltIn_Print_Area_4" localSheetId="21">#REF!</definedName>
    <definedName name="Excel_BuiltIn_Print_Area_4" localSheetId="3">#REF!</definedName>
    <definedName name="Excel_BuiltIn_Print_Area_4" localSheetId="11">#REF!</definedName>
    <definedName name="Excel_BuiltIn_Print_Area_4">#REF!</definedName>
    <definedName name="Excel_BuiltIn_Print_Area_5">"$#REF!.$A$1:$I$104"</definedName>
    <definedName name="Excel_BuiltIn_Print_Area_6">"$#REF!.$A$1:$K$102"</definedName>
    <definedName name="Excel_BuiltIn_Print_Area_6_1" localSheetId="13">#REF!</definedName>
    <definedName name="Excel_BuiltIn_Print_Area_6_1" localSheetId="14">#REF!</definedName>
    <definedName name="Excel_BuiltIn_Print_Area_6_1" localSheetId="15">#REF!</definedName>
    <definedName name="Excel_BuiltIn_Print_Area_6_1" localSheetId="16">#REF!</definedName>
    <definedName name="Excel_BuiltIn_Print_Area_6_1" localSheetId="17">#REF!</definedName>
    <definedName name="Excel_BuiltIn_Print_Area_6_1" localSheetId="18">#REF!</definedName>
    <definedName name="Excel_BuiltIn_Print_Area_6_1" localSheetId="20">#REF!</definedName>
    <definedName name="Excel_BuiltIn_Print_Area_6_1" localSheetId="21">#REF!</definedName>
    <definedName name="Excel_BuiltIn_Print_Area_6_1" localSheetId="22">#REF!</definedName>
    <definedName name="Excel_BuiltIn_Print_Area_6_1" localSheetId="7">#REF!</definedName>
    <definedName name="Excel_BuiltIn_Print_Area_6_1" localSheetId="3">#REF!</definedName>
    <definedName name="Excel_BuiltIn_Print_Area_6_1" localSheetId="11">#REF!</definedName>
    <definedName name="Excel_BuiltIn_Print_Area_6_1">#REF!</definedName>
    <definedName name="Excel_BuiltIn_Print_Area_7">"$#REF!.$A$1:$M$101"</definedName>
    <definedName name="Excel_BuiltIn_Print_Titles">#REF!</definedName>
    <definedName name="Excel_BuiltIn_Print_Titles_0">#REF!</definedName>
    <definedName name="Excel_BuiltIn_Print_Titles_1">#REF!</definedName>
    <definedName name="Excel_BuiltIn_Print_Titles_1_1">#REF!</definedName>
    <definedName name="Excel_BuiltIn_Print_Titles_2" localSheetId="13">#REF!</definedName>
    <definedName name="Excel_BuiltIn_Print_Titles_2" localSheetId="14">#REF!</definedName>
    <definedName name="Excel_BuiltIn_Print_Titles_2" localSheetId="15">#REF!</definedName>
    <definedName name="Excel_BuiltIn_Print_Titles_2" localSheetId="16">#REF!</definedName>
    <definedName name="Excel_BuiltIn_Print_Titles_2" localSheetId="17">#REF!</definedName>
    <definedName name="Excel_BuiltIn_Print_Titles_2" localSheetId="18">#REF!</definedName>
    <definedName name="Excel_BuiltIn_Print_Titles_2" localSheetId="20">#REF!</definedName>
    <definedName name="Excel_BuiltIn_Print_Titles_2" localSheetId="21">#REF!</definedName>
    <definedName name="Excel_BuiltIn_Print_Titles_2" localSheetId="3">#REF!</definedName>
    <definedName name="Excel_BuiltIn_Print_Titles_2" localSheetId="11">#REF!</definedName>
    <definedName name="Excel_BuiltIn_Print_Titles_2">#REF!</definedName>
    <definedName name="Excel_BuiltIn_Print_Titles_3" localSheetId="13">#REF!</definedName>
    <definedName name="Excel_BuiltIn_Print_Titles_3" localSheetId="14">#REF!</definedName>
    <definedName name="Excel_BuiltIn_Print_Titles_3" localSheetId="15">#REF!</definedName>
    <definedName name="Excel_BuiltIn_Print_Titles_3" localSheetId="16">#REF!</definedName>
    <definedName name="Excel_BuiltIn_Print_Titles_3" localSheetId="17">#REF!</definedName>
    <definedName name="Excel_BuiltIn_Print_Titles_3" localSheetId="18">#REF!</definedName>
    <definedName name="Excel_BuiltIn_Print_Titles_3" localSheetId="20">#REF!</definedName>
    <definedName name="Excel_BuiltIn_Print_Titles_3" localSheetId="21">#REF!</definedName>
    <definedName name="Excel_BuiltIn_Print_Titles_3" localSheetId="3">#REF!</definedName>
    <definedName name="Excel_BuiltIn_Print_Titles_3" localSheetId="11">#REF!</definedName>
    <definedName name="Excel_BuiltIn_Print_Titles_3">#REF!</definedName>
    <definedName name="Excel_BuiltIn_Print_Titles_4" localSheetId="13">#REF!</definedName>
    <definedName name="Excel_BuiltIn_Print_Titles_4" localSheetId="14">#REF!</definedName>
    <definedName name="Excel_BuiltIn_Print_Titles_4" localSheetId="15">#REF!</definedName>
    <definedName name="Excel_BuiltIn_Print_Titles_4" localSheetId="16">#REF!</definedName>
    <definedName name="Excel_BuiltIn_Print_Titles_4" localSheetId="17">#REF!</definedName>
    <definedName name="Excel_BuiltIn_Print_Titles_4" localSheetId="18">#REF!</definedName>
    <definedName name="Excel_BuiltIn_Print_Titles_4" localSheetId="20">#REF!</definedName>
    <definedName name="Excel_BuiltIn_Print_Titles_4" localSheetId="21">#REF!</definedName>
    <definedName name="Excel_BuiltIn_Print_Titles_4" localSheetId="3">#REF!</definedName>
    <definedName name="Excel_BuiltIn_Print_Titles_4" localSheetId="11">#REF!</definedName>
    <definedName name="Excel_BuiltIn_Print_Titles_4">#REF!</definedName>
    <definedName name="Excel_BuiltIn_Print_Titles_5">"$#REF!.$A$1:$AMJ$16"</definedName>
    <definedName name="Excel_BuiltIn_Print_Titles_6">"$#REF!.$A$1:$AMJ$16"</definedName>
    <definedName name="Excel_BuiltIn_Print_Titles_6_1" localSheetId="13">#REF!</definedName>
    <definedName name="Excel_BuiltIn_Print_Titles_6_1" localSheetId="14">#REF!</definedName>
    <definedName name="Excel_BuiltIn_Print_Titles_6_1" localSheetId="15">#REF!</definedName>
    <definedName name="Excel_BuiltIn_Print_Titles_6_1" localSheetId="16">#REF!</definedName>
    <definedName name="Excel_BuiltIn_Print_Titles_6_1" localSheetId="17">#REF!</definedName>
    <definedName name="Excel_BuiltIn_Print_Titles_6_1" localSheetId="18">#REF!</definedName>
    <definedName name="Excel_BuiltIn_Print_Titles_6_1" localSheetId="20">#REF!</definedName>
    <definedName name="Excel_BuiltIn_Print_Titles_6_1" localSheetId="21">#REF!</definedName>
    <definedName name="Excel_BuiltIn_Print_Titles_6_1" localSheetId="22">#REF!</definedName>
    <definedName name="Excel_BuiltIn_Print_Titles_6_1" localSheetId="7">#REF!</definedName>
    <definedName name="Excel_BuiltIn_Print_Titles_6_1" localSheetId="3">#REF!</definedName>
    <definedName name="Excel_BuiltIn_Print_Titles_6_1" localSheetId="11">#REF!</definedName>
    <definedName name="Excel_BuiltIn_Print_Titles_6_1">#REF!</definedName>
    <definedName name="Excel_BuiltIn_Print_Titles_7">"$#REF!.$A$1:$AMJ$16"</definedName>
    <definedName name="exe" localSheetId="13">#REF!</definedName>
    <definedName name="exe" localSheetId="14">#REF!</definedName>
    <definedName name="exe" localSheetId="15">#REF!</definedName>
    <definedName name="exe" localSheetId="16">#REF!</definedName>
    <definedName name="exe" localSheetId="17">#REF!</definedName>
    <definedName name="exe" localSheetId="18">#REF!</definedName>
    <definedName name="exe" localSheetId="20">#REF!</definedName>
    <definedName name="exe" localSheetId="21">#REF!</definedName>
    <definedName name="exe" localSheetId="22">#REF!</definedName>
    <definedName name="exe" localSheetId="7">#REF!</definedName>
    <definedName name="exe" localSheetId="3">#REF!</definedName>
    <definedName name="exe" localSheetId="11">#REF!</definedName>
    <definedName name="exe">#REF!</definedName>
    <definedName name="Exist" localSheetId="13">#REF!</definedName>
    <definedName name="Exist" localSheetId="14">#REF!</definedName>
    <definedName name="Exist" localSheetId="15">#REF!</definedName>
    <definedName name="Exist" localSheetId="16">#REF!</definedName>
    <definedName name="Exist" localSheetId="17">#REF!</definedName>
    <definedName name="Exist" localSheetId="18">#REF!</definedName>
    <definedName name="Exist" localSheetId="20">#REF!</definedName>
    <definedName name="Exist" localSheetId="21">#REF!</definedName>
    <definedName name="Exist" localSheetId="7">#REF!</definedName>
    <definedName name="Exist" localSheetId="3">#REF!</definedName>
    <definedName name="Exist" localSheetId="11">#REF!</definedName>
    <definedName name="Exist">#REF!</definedName>
    <definedName name="F" localSheetId="13" hidden="1">#REF!</definedName>
    <definedName name="F" localSheetId="14" hidden="1">#REF!</definedName>
    <definedName name="F" localSheetId="15" hidden="1">#REF!</definedName>
    <definedName name="F" localSheetId="16" hidden="1">#REF!</definedName>
    <definedName name="F" localSheetId="17" hidden="1">#REF!</definedName>
    <definedName name="F" localSheetId="18" hidden="1">#REF!</definedName>
    <definedName name="F" localSheetId="20" hidden="1">#REF!</definedName>
    <definedName name="F" localSheetId="21" hidden="1">#REF!</definedName>
    <definedName name="F" localSheetId="7" hidden="1">#REF!</definedName>
    <definedName name="F" localSheetId="3" hidden="1">#REF!</definedName>
    <definedName name="F" localSheetId="11" hidden="1">#REF!</definedName>
    <definedName name="F" hidden="1">#REF!</definedName>
    <definedName name="F_01_120" localSheetId="13">#REF!</definedName>
    <definedName name="F_01_120" localSheetId="14">#REF!</definedName>
    <definedName name="F_01_120" localSheetId="15">#REF!</definedName>
    <definedName name="F_01_120" localSheetId="16">#REF!</definedName>
    <definedName name="F_01_120" localSheetId="17">#REF!</definedName>
    <definedName name="F_01_120" localSheetId="18">#REF!</definedName>
    <definedName name="F_01_120" localSheetId="20">#REF!</definedName>
    <definedName name="F_01_120" localSheetId="21">#REF!</definedName>
    <definedName name="F_01_120" localSheetId="7">#REF!</definedName>
    <definedName name="F_01_120" localSheetId="3">#REF!</definedName>
    <definedName name="F_01_120" localSheetId="11">#REF!</definedName>
    <definedName name="F_01_120">#REF!</definedName>
    <definedName name="F_01_150" localSheetId="13">#REF!</definedName>
    <definedName name="F_01_150" localSheetId="14">#REF!</definedName>
    <definedName name="F_01_150" localSheetId="15">#REF!</definedName>
    <definedName name="F_01_150" localSheetId="16">#REF!</definedName>
    <definedName name="F_01_150" localSheetId="17">#REF!</definedName>
    <definedName name="F_01_150" localSheetId="18">#REF!</definedName>
    <definedName name="F_01_150" localSheetId="20">#REF!</definedName>
    <definedName name="F_01_150" localSheetId="21">#REF!</definedName>
    <definedName name="F_01_150" localSheetId="7">#REF!</definedName>
    <definedName name="F_01_150" localSheetId="3">#REF!</definedName>
    <definedName name="F_01_150" localSheetId="11">#REF!</definedName>
    <definedName name="F_01_150">#REF!</definedName>
    <definedName name="F_01_180" localSheetId="13">#REF!</definedName>
    <definedName name="F_01_180" localSheetId="14">#REF!</definedName>
    <definedName name="F_01_180" localSheetId="15">#REF!</definedName>
    <definedName name="F_01_180" localSheetId="16">#REF!</definedName>
    <definedName name="F_01_180" localSheetId="17">#REF!</definedName>
    <definedName name="F_01_180" localSheetId="18">#REF!</definedName>
    <definedName name="F_01_180" localSheetId="20">#REF!</definedName>
    <definedName name="F_01_180" localSheetId="21">#REF!</definedName>
    <definedName name="F_01_180" localSheetId="7">#REF!</definedName>
    <definedName name="F_01_180" localSheetId="3">#REF!</definedName>
    <definedName name="F_01_180" localSheetId="11">#REF!</definedName>
    <definedName name="F_01_180">#REF!</definedName>
    <definedName name="F_01_210" localSheetId="13">#REF!</definedName>
    <definedName name="F_01_210" localSheetId="14">#REF!</definedName>
    <definedName name="F_01_210" localSheetId="15">#REF!</definedName>
    <definedName name="F_01_210" localSheetId="16">#REF!</definedName>
    <definedName name="F_01_210" localSheetId="17">#REF!</definedName>
    <definedName name="F_01_210" localSheetId="18">#REF!</definedName>
    <definedName name="F_01_210" localSheetId="20">#REF!</definedName>
    <definedName name="F_01_210" localSheetId="21">#REF!</definedName>
    <definedName name="F_01_210" localSheetId="7">#REF!</definedName>
    <definedName name="F_01_210" localSheetId="3">#REF!</definedName>
    <definedName name="F_01_210" localSheetId="11">#REF!</definedName>
    <definedName name="F_01_210">#REF!</definedName>
    <definedName name="F_01_240" localSheetId="13">#REF!</definedName>
    <definedName name="F_01_240" localSheetId="14">#REF!</definedName>
    <definedName name="F_01_240" localSheetId="15">#REF!</definedName>
    <definedName name="F_01_240" localSheetId="16">#REF!</definedName>
    <definedName name="F_01_240" localSheetId="17">#REF!</definedName>
    <definedName name="F_01_240" localSheetId="18">#REF!</definedName>
    <definedName name="F_01_240" localSheetId="20">#REF!</definedName>
    <definedName name="F_01_240" localSheetId="21">#REF!</definedName>
    <definedName name="F_01_240" localSheetId="7">#REF!</definedName>
    <definedName name="F_01_240" localSheetId="3">#REF!</definedName>
    <definedName name="F_01_240" localSheetId="11">#REF!</definedName>
    <definedName name="F_01_240">#REF!</definedName>
    <definedName name="F_01_270" localSheetId="13">#REF!</definedName>
    <definedName name="F_01_270" localSheetId="14">#REF!</definedName>
    <definedName name="F_01_270" localSheetId="15">#REF!</definedName>
    <definedName name="F_01_270" localSheetId="16">#REF!</definedName>
    <definedName name="F_01_270" localSheetId="17">#REF!</definedName>
    <definedName name="F_01_270" localSheetId="18">#REF!</definedName>
    <definedName name="F_01_270" localSheetId="20">#REF!</definedName>
    <definedName name="F_01_270" localSheetId="21">#REF!</definedName>
    <definedName name="F_01_270" localSheetId="7">#REF!</definedName>
    <definedName name="F_01_270" localSheetId="3">#REF!</definedName>
    <definedName name="F_01_270" localSheetId="11">#REF!</definedName>
    <definedName name="F_01_270">#REF!</definedName>
    <definedName name="F_01_30" localSheetId="13">#REF!</definedName>
    <definedName name="F_01_30" localSheetId="14">#REF!</definedName>
    <definedName name="F_01_30" localSheetId="15">#REF!</definedName>
    <definedName name="F_01_30" localSheetId="16">#REF!</definedName>
    <definedName name="F_01_30" localSheetId="17">#REF!</definedName>
    <definedName name="F_01_30" localSheetId="18">#REF!</definedName>
    <definedName name="F_01_30" localSheetId="20">#REF!</definedName>
    <definedName name="F_01_30" localSheetId="21">#REF!</definedName>
    <definedName name="F_01_30" localSheetId="7">#REF!</definedName>
    <definedName name="F_01_30" localSheetId="3">#REF!</definedName>
    <definedName name="F_01_30" localSheetId="11">#REF!</definedName>
    <definedName name="F_01_30">#REF!</definedName>
    <definedName name="F_01_300" localSheetId="13">#REF!</definedName>
    <definedName name="F_01_300" localSheetId="14">#REF!</definedName>
    <definedName name="F_01_300" localSheetId="15">#REF!</definedName>
    <definedName name="F_01_300" localSheetId="16">#REF!</definedName>
    <definedName name="F_01_300" localSheetId="17">#REF!</definedName>
    <definedName name="F_01_300" localSheetId="18">#REF!</definedName>
    <definedName name="F_01_300" localSheetId="20">#REF!</definedName>
    <definedName name="F_01_300" localSheetId="21">#REF!</definedName>
    <definedName name="F_01_300" localSheetId="7">#REF!</definedName>
    <definedName name="F_01_300" localSheetId="3">#REF!</definedName>
    <definedName name="F_01_300" localSheetId="11">#REF!</definedName>
    <definedName name="F_01_300">#REF!</definedName>
    <definedName name="F_01_330" localSheetId="13">#REF!</definedName>
    <definedName name="F_01_330" localSheetId="14">#REF!</definedName>
    <definedName name="F_01_330" localSheetId="15">#REF!</definedName>
    <definedName name="F_01_330" localSheetId="16">#REF!</definedName>
    <definedName name="F_01_330" localSheetId="17">#REF!</definedName>
    <definedName name="F_01_330" localSheetId="18">#REF!</definedName>
    <definedName name="F_01_330" localSheetId="20">#REF!</definedName>
    <definedName name="F_01_330" localSheetId="21">#REF!</definedName>
    <definedName name="F_01_330" localSheetId="7">#REF!</definedName>
    <definedName name="F_01_330" localSheetId="3">#REF!</definedName>
    <definedName name="F_01_330" localSheetId="11">#REF!</definedName>
    <definedName name="F_01_330">#REF!</definedName>
    <definedName name="F_01_360" localSheetId="13">#REF!</definedName>
    <definedName name="F_01_360" localSheetId="14">#REF!</definedName>
    <definedName name="F_01_360" localSheetId="15">#REF!</definedName>
    <definedName name="F_01_360" localSheetId="16">#REF!</definedName>
    <definedName name="F_01_360" localSheetId="17">#REF!</definedName>
    <definedName name="F_01_360" localSheetId="18">#REF!</definedName>
    <definedName name="F_01_360" localSheetId="20">#REF!</definedName>
    <definedName name="F_01_360" localSheetId="21">#REF!</definedName>
    <definedName name="F_01_360" localSheetId="7">#REF!</definedName>
    <definedName name="F_01_360" localSheetId="3">#REF!</definedName>
    <definedName name="F_01_360" localSheetId="11">#REF!</definedName>
    <definedName name="F_01_360">#REF!</definedName>
    <definedName name="F_01_390" localSheetId="13">#REF!</definedName>
    <definedName name="F_01_390" localSheetId="14">#REF!</definedName>
    <definedName name="F_01_390" localSheetId="15">#REF!</definedName>
    <definedName name="F_01_390" localSheetId="16">#REF!</definedName>
    <definedName name="F_01_390" localSheetId="17">#REF!</definedName>
    <definedName name="F_01_390" localSheetId="18">#REF!</definedName>
    <definedName name="F_01_390" localSheetId="20">#REF!</definedName>
    <definedName name="F_01_390" localSheetId="21">#REF!</definedName>
    <definedName name="F_01_390" localSheetId="7">#REF!</definedName>
    <definedName name="F_01_390" localSheetId="3">#REF!</definedName>
    <definedName name="F_01_390" localSheetId="11">#REF!</definedName>
    <definedName name="F_01_390">#REF!</definedName>
    <definedName name="F_01_420" localSheetId="13">#REF!</definedName>
    <definedName name="F_01_420" localSheetId="14">#REF!</definedName>
    <definedName name="F_01_420" localSheetId="15">#REF!</definedName>
    <definedName name="F_01_420" localSheetId="16">#REF!</definedName>
    <definedName name="F_01_420" localSheetId="17">#REF!</definedName>
    <definedName name="F_01_420" localSheetId="18">#REF!</definedName>
    <definedName name="F_01_420" localSheetId="20">#REF!</definedName>
    <definedName name="F_01_420" localSheetId="21">#REF!</definedName>
    <definedName name="F_01_420" localSheetId="7">#REF!</definedName>
    <definedName name="F_01_420" localSheetId="3">#REF!</definedName>
    <definedName name="F_01_420" localSheetId="11">#REF!</definedName>
    <definedName name="F_01_420">#REF!</definedName>
    <definedName name="F_01_450" localSheetId="13">#REF!</definedName>
    <definedName name="F_01_450" localSheetId="14">#REF!</definedName>
    <definedName name="F_01_450" localSheetId="15">#REF!</definedName>
    <definedName name="F_01_450" localSheetId="16">#REF!</definedName>
    <definedName name="F_01_450" localSheetId="17">#REF!</definedName>
    <definedName name="F_01_450" localSheetId="18">#REF!</definedName>
    <definedName name="F_01_450" localSheetId="20">#REF!</definedName>
    <definedName name="F_01_450" localSheetId="21">#REF!</definedName>
    <definedName name="F_01_450" localSheetId="7">#REF!</definedName>
    <definedName name="F_01_450" localSheetId="3">#REF!</definedName>
    <definedName name="F_01_450" localSheetId="11">#REF!</definedName>
    <definedName name="F_01_450">#REF!</definedName>
    <definedName name="F_01_480" localSheetId="13">#REF!</definedName>
    <definedName name="F_01_480" localSheetId="14">#REF!</definedName>
    <definedName name="F_01_480" localSheetId="15">#REF!</definedName>
    <definedName name="F_01_480" localSheetId="16">#REF!</definedName>
    <definedName name="F_01_480" localSheetId="17">#REF!</definedName>
    <definedName name="F_01_480" localSheetId="18">#REF!</definedName>
    <definedName name="F_01_480" localSheetId="20">#REF!</definedName>
    <definedName name="F_01_480" localSheetId="21">#REF!</definedName>
    <definedName name="F_01_480" localSheetId="7">#REF!</definedName>
    <definedName name="F_01_480" localSheetId="3">#REF!</definedName>
    <definedName name="F_01_480" localSheetId="11">#REF!</definedName>
    <definedName name="F_01_480">#REF!</definedName>
    <definedName name="F_01_510" localSheetId="13">#REF!</definedName>
    <definedName name="F_01_510" localSheetId="14">#REF!</definedName>
    <definedName name="F_01_510" localSheetId="15">#REF!</definedName>
    <definedName name="F_01_510" localSheetId="16">#REF!</definedName>
    <definedName name="F_01_510" localSheetId="17">#REF!</definedName>
    <definedName name="F_01_510" localSheetId="18">#REF!</definedName>
    <definedName name="F_01_510" localSheetId="20">#REF!</definedName>
    <definedName name="F_01_510" localSheetId="21">#REF!</definedName>
    <definedName name="F_01_510" localSheetId="7">#REF!</definedName>
    <definedName name="F_01_510" localSheetId="3">#REF!</definedName>
    <definedName name="F_01_510" localSheetId="11">#REF!</definedName>
    <definedName name="F_01_510">#REF!</definedName>
    <definedName name="F_01_540" localSheetId="13">#REF!</definedName>
    <definedName name="F_01_540" localSheetId="14">#REF!</definedName>
    <definedName name="F_01_540" localSheetId="15">#REF!</definedName>
    <definedName name="F_01_540" localSheetId="16">#REF!</definedName>
    <definedName name="F_01_540" localSheetId="17">#REF!</definedName>
    <definedName name="F_01_540" localSheetId="18">#REF!</definedName>
    <definedName name="F_01_540" localSheetId="20">#REF!</definedName>
    <definedName name="F_01_540" localSheetId="21">#REF!</definedName>
    <definedName name="F_01_540" localSheetId="7">#REF!</definedName>
    <definedName name="F_01_540" localSheetId="3">#REF!</definedName>
    <definedName name="F_01_540" localSheetId="11">#REF!</definedName>
    <definedName name="F_01_540">#REF!</definedName>
    <definedName name="F_01_570" localSheetId="13">#REF!</definedName>
    <definedName name="F_01_570" localSheetId="14">#REF!</definedName>
    <definedName name="F_01_570" localSheetId="15">#REF!</definedName>
    <definedName name="F_01_570" localSheetId="16">#REF!</definedName>
    <definedName name="F_01_570" localSheetId="17">#REF!</definedName>
    <definedName name="F_01_570" localSheetId="18">#REF!</definedName>
    <definedName name="F_01_570" localSheetId="20">#REF!</definedName>
    <definedName name="F_01_570" localSheetId="21">#REF!</definedName>
    <definedName name="F_01_570" localSheetId="7">#REF!</definedName>
    <definedName name="F_01_570" localSheetId="3">#REF!</definedName>
    <definedName name="F_01_570" localSheetId="11">#REF!</definedName>
    <definedName name="F_01_570">#REF!</definedName>
    <definedName name="F_01_60" localSheetId="13">#REF!</definedName>
    <definedName name="F_01_60" localSheetId="14">#REF!</definedName>
    <definedName name="F_01_60" localSheetId="15">#REF!</definedName>
    <definedName name="F_01_60" localSheetId="16">#REF!</definedName>
    <definedName name="F_01_60" localSheetId="17">#REF!</definedName>
    <definedName name="F_01_60" localSheetId="18">#REF!</definedName>
    <definedName name="F_01_60" localSheetId="20">#REF!</definedName>
    <definedName name="F_01_60" localSheetId="21">#REF!</definedName>
    <definedName name="F_01_60" localSheetId="7">#REF!</definedName>
    <definedName name="F_01_60" localSheetId="3">#REF!</definedName>
    <definedName name="F_01_60" localSheetId="11">#REF!</definedName>
    <definedName name="F_01_60">#REF!</definedName>
    <definedName name="F_01_600" localSheetId="13">#REF!</definedName>
    <definedName name="F_01_600" localSheetId="14">#REF!</definedName>
    <definedName name="F_01_600" localSheetId="15">#REF!</definedName>
    <definedName name="F_01_600" localSheetId="16">#REF!</definedName>
    <definedName name="F_01_600" localSheetId="17">#REF!</definedName>
    <definedName name="F_01_600" localSheetId="18">#REF!</definedName>
    <definedName name="F_01_600" localSheetId="20">#REF!</definedName>
    <definedName name="F_01_600" localSheetId="21">#REF!</definedName>
    <definedName name="F_01_600" localSheetId="7">#REF!</definedName>
    <definedName name="F_01_600" localSheetId="3">#REF!</definedName>
    <definedName name="F_01_600" localSheetId="11">#REF!</definedName>
    <definedName name="F_01_600">#REF!</definedName>
    <definedName name="F_01_630" localSheetId="13">#REF!</definedName>
    <definedName name="F_01_630" localSheetId="14">#REF!</definedName>
    <definedName name="F_01_630" localSheetId="15">#REF!</definedName>
    <definedName name="F_01_630" localSheetId="16">#REF!</definedName>
    <definedName name="F_01_630" localSheetId="17">#REF!</definedName>
    <definedName name="F_01_630" localSheetId="18">#REF!</definedName>
    <definedName name="F_01_630" localSheetId="20">#REF!</definedName>
    <definedName name="F_01_630" localSheetId="21">#REF!</definedName>
    <definedName name="F_01_630" localSheetId="7">#REF!</definedName>
    <definedName name="F_01_630" localSheetId="3">#REF!</definedName>
    <definedName name="F_01_630" localSheetId="11">#REF!</definedName>
    <definedName name="F_01_630">#REF!</definedName>
    <definedName name="F_01_660" localSheetId="13">#REF!</definedName>
    <definedName name="F_01_660" localSheetId="14">#REF!</definedName>
    <definedName name="F_01_660" localSheetId="15">#REF!</definedName>
    <definedName name="F_01_660" localSheetId="16">#REF!</definedName>
    <definedName name="F_01_660" localSheetId="17">#REF!</definedName>
    <definedName name="F_01_660" localSheetId="18">#REF!</definedName>
    <definedName name="F_01_660" localSheetId="20">#REF!</definedName>
    <definedName name="F_01_660" localSheetId="21">#REF!</definedName>
    <definedName name="F_01_660" localSheetId="7">#REF!</definedName>
    <definedName name="F_01_660" localSheetId="3">#REF!</definedName>
    <definedName name="F_01_660" localSheetId="11">#REF!</definedName>
    <definedName name="F_01_660">#REF!</definedName>
    <definedName name="F_01_690" localSheetId="13">#REF!</definedName>
    <definedName name="F_01_690" localSheetId="14">#REF!</definedName>
    <definedName name="F_01_690" localSheetId="15">#REF!</definedName>
    <definedName name="F_01_690" localSheetId="16">#REF!</definedName>
    <definedName name="F_01_690" localSheetId="17">#REF!</definedName>
    <definedName name="F_01_690" localSheetId="18">#REF!</definedName>
    <definedName name="F_01_690" localSheetId="20">#REF!</definedName>
    <definedName name="F_01_690" localSheetId="21">#REF!</definedName>
    <definedName name="F_01_690" localSheetId="7">#REF!</definedName>
    <definedName name="F_01_690" localSheetId="3">#REF!</definedName>
    <definedName name="F_01_690" localSheetId="11">#REF!</definedName>
    <definedName name="F_01_690">#REF!</definedName>
    <definedName name="F_01_720" localSheetId="13">#REF!</definedName>
    <definedName name="F_01_720" localSheetId="14">#REF!</definedName>
    <definedName name="F_01_720" localSheetId="15">#REF!</definedName>
    <definedName name="F_01_720" localSheetId="16">#REF!</definedName>
    <definedName name="F_01_720" localSheetId="17">#REF!</definedName>
    <definedName name="F_01_720" localSheetId="18">#REF!</definedName>
    <definedName name="F_01_720" localSheetId="20">#REF!</definedName>
    <definedName name="F_01_720" localSheetId="21">#REF!</definedName>
    <definedName name="F_01_720" localSheetId="7">#REF!</definedName>
    <definedName name="F_01_720" localSheetId="3">#REF!</definedName>
    <definedName name="F_01_720" localSheetId="11">#REF!</definedName>
    <definedName name="F_01_720">#REF!</definedName>
    <definedName name="F_01_90" localSheetId="13">#REF!</definedName>
    <definedName name="F_01_90" localSheetId="14">#REF!</definedName>
    <definedName name="F_01_90" localSheetId="15">#REF!</definedName>
    <definedName name="F_01_90" localSheetId="16">#REF!</definedName>
    <definedName name="F_01_90" localSheetId="17">#REF!</definedName>
    <definedName name="F_01_90" localSheetId="18">#REF!</definedName>
    <definedName name="F_01_90" localSheetId="20">#REF!</definedName>
    <definedName name="F_01_90" localSheetId="21">#REF!</definedName>
    <definedName name="F_01_90" localSheetId="7">#REF!</definedName>
    <definedName name="F_01_90" localSheetId="3">#REF!</definedName>
    <definedName name="F_01_90" localSheetId="11">#REF!</definedName>
    <definedName name="F_01_90">#REF!</definedName>
    <definedName name="F_02_120" localSheetId="13">#REF!</definedName>
    <definedName name="F_02_120" localSheetId="14">#REF!</definedName>
    <definedName name="F_02_120" localSheetId="15">#REF!</definedName>
    <definedName name="F_02_120" localSheetId="16">#REF!</definedName>
    <definedName name="F_02_120" localSheetId="17">#REF!</definedName>
    <definedName name="F_02_120" localSheetId="18">#REF!</definedName>
    <definedName name="F_02_120" localSheetId="20">#REF!</definedName>
    <definedName name="F_02_120" localSheetId="21">#REF!</definedName>
    <definedName name="F_02_120" localSheetId="7">#REF!</definedName>
    <definedName name="F_02_120" localSheetId="3">#REF!</definedName>
    <definedName name="F_02_120" localSheetId="11">#REF!</definedName>
    <definedName name="F_02_120">#REF!</definedName>
    <definedName name="F_02_150" localSheetId="13">#REF!</definedName>
    <definedName name="F_02_150" localSheetId="14">#REF!</definedName>
    <definedName name="F_02_150" localSheetId="15">#REF!</definedName>
    <definedName name="F_02_150" localSheetId="16">#REF!</definedName>
    <definedName name="F_02_150" localSheetId="17">#REF!</definedName>
    <definedName name="F_02_150" localSheetId="18">#REF!</definedName>
    <definedName name="F_02_150" localSheetId="20">#REF!</definedName>
    <definedName name="F_02_150" localSheetId="21">#REF!</definedName>
    <definedName name="F_02_150" localSheetId="7">#REF!</definedName>
    <definedName name="F_02_150" localSheetId="3">#REF!</definedName>
    <definedName name="F_02_150" localSheetId="11">#REF!</definedName>
    <definedName name="F_02_150">#REF!</definedName>
    <definedName name="F_02_180" localSheetId="13">#REF!</definedName>
    <definedName name="F_02_180" localSheetId="14">#REF!</definedName>
    <definedName name="F_02_180" localSheetId="15">#REF!</definedName>
    <definedName name="F_02_180" localSheetId="16">#REF!</definedName>
    <definedName name="F_02_180" localSheetId="17">#REF!</definedName>
    <definedName name="F_02_180" localSheetId="18">#REF!</definedName>
    <definedName name="F_02_180" localSheetId="20">#REF!</definedName>
    <definedName name="F_02_180" localSheetId="21">#REF!</definedName>
    <definedName name="F_02_180" localSheetId="7">#REF!</definedName>
    <definedName name="F_02_180" localSheetId="3">#REF!</definedName>
    <definedName name="F_02_180" localSheetId="11">#REF!</definedName>
    <definedName name="F_02_180">#REF!</definedName>
    <definedName name="F_02_210" localSheetId="13">#REF!</definedName>
    <definedName name="F_02_210" localSheetId="14">#REF!</definedName>
    <definedName name="F_02_210" localSheetId="15">#REF!</definedName>
    <definedName name="F_02_210" localSheetId="16">#REF!</definedName>
    <definedName name="F_02_210" localSheetId="17">#REF!</definedName>
    <definedName name="F_02_210" localSheetId="18">#REF!</definedName>
    <definedName name="F_02_210" localSheetId="20">#REF!</definedName>
    <definedName name="F_02_210" localSheetId="21">#REF!</definedName>
    <definedName name="F_02_210" localSheetId="7">#REF!</definedName>
    <definedName name="F_02_210" localSheetId="3">#REF!</definedName>
    <definedName name="F_02_210" localSheetId="11">#REF!</definedName>
    <definedName name="F_02_210">#REF!</definedName>
    <definedName name="F_02_240" localSheetId="13">#REF!</definedName>
    <definedName name="F_02_240" localSheetId="14">#REF!</definedName>
    <definedName name="F_02_240" localSheetId="15">#REF!</definedName>
    <definedName name="F_02_240" localSheetId="16">#REF!</definedName>
    <definedName name="F_02_240" localSheetId="17">#REF!</definedName>
    <definedName name="F_02_240" localSheetId="18">#REF!</definedName>
    <definedName name="F_02_240" localSheetId="20">#REF!</definedName>
    <definedName name="F_02_240" localSheetId="21">#REF!</definedName>
    <definedName name="F_02_240" localSheetId="7">#REF!</definedName>
    <definedName name="F_02_240" localSheetId="3">#REF!</definedName>
    <definedName name="F_02_240" localSheetId="11">#REF!</definedName>
    <definedName name="F_02_240">#REF!</definedName>
    <definedName name="F_02_270" localSheetId="13">#REF!</definedName>
    <definedName name="F_02_270" localSheetId="14">#REF!</definedName>
    <definedName name="F_02_270" localSheetId="15">#REF!</definedName>
    <definedName name="F_02_270" localSheetId="16">#REF!</definedName>
    <definedName name="F_02_270" localSheetId="17">#REF!</definedName>
    <definedName name="F_02_270" localSheetId="18">#REF!</definedName>
    <definedName name="F_02_270" localSheetId="20">#REF!</definedName>
    <definedName name="F_02_270" localSheetId="21">#REF!</definedName>
    <definedName name="F_02_270" localSheetId="7">#REF!</definedName>
    <definedName name="F_02_270" localSheetId="3">#REF!</definedName>
    <definedName name="F_02_270" localSheetId="11">#REF!</definedName>
    <definedName name="F_02_270">#REF!</definedName>
    <definedName name="F_02_30" localSheetId="13">#REF!</definedName>
    <definedName name="F_02_30" localSheetId="14">#REF!</definedName>
    <definedName name="F_02_30" localSheetId="15">#REF!</definedName>
    <definedName name="F_02_30" localSheetId="16">#REF!</definedName>
    <definedName name="F_02_30" localSheetId="17">#REF!</definedName>
    <definedName name="F_02_30" localSheetId="18">#REF!</definedName>
    <definedName name="F_02_30" localSheetId="20">#REF!</definedName>
    <definedName name="F_02_30" localSheetId="21">#REF!</definedName>
    <definedName name="F_02_30" localSheetId="7">#REF!</definedName>
    <definedName name="F_02_30" localSheetId="3">#REF!</definedName>
    <definedName name="F_02_30" localSheetId="11">#REF!</definedName>
    <definedName name="F_02_30">#REF!</definedName>
    <definedName name="F_02_300" localSheetId="13">#REF!</definedName>
    <definedName name="F_02_300" localSheetId="14">#REF!</definedName>
    <definedName name="F_02_300" localSheetId="15">#REF!</definedName>
    <definedName name="F_02_300" localSheetId="16">#REF!</definedName>
    <definedName name="F_02_300" localSheetId="17">#REF!</definedName>
    <definedName name="F_02_300" localSheetId="18">#REF!</definedName>
    <definedName name="F_02_300" localSheetId="20">#REF!</definedName>
    <definedName name="F_02_300" localSheetId="21">#REF!</definedName>
    <definedName name="F_02_300" localSheetId="7">#REF!</definedName>
    <definedName name="F_02_300" localSheetId="3">#REF!</definedName>
    <definedName name="F_02_300" localSheetId="11">#REF!</definedName>
    <definedName name="F_02_300">#REF!</definedName>
    <definedName name="F_02_330" localSheetId="13">#REF!</definedName>
    <definedName name="F_02_330" localSheetId="14">#REF!</definedName>
    <definedName name="F_02_330" localSheetId="15">#REF!</definedName>
    <definedName name="F_02_330" localSheetId="16">#REF!</definedName>
    <definedName name="F_02_330" localSheetId="17">#REF!</definedName>
    <definedName name="F_02_330" localSheetId="18">#REF!</definedName>
    <definedName name="F_02_330" localSheetId="20">#REF!</definedName>
    <definedName name="F_02_330" localSheetId="21">#REF!</definedName>
    <definedName name="F_02_330" localSheetId="7">#REF!</definedName>
    <definedName name="F_02_330" localSheetId="3">#REF!</definedName>
    <definedName name="F_02_330" localSheetId="11">#REF!</definedName>
    <definedName name="F_02_330">#REF!</definedName>
    <definedName name="F_02_360" localSheetId="13">#REF!</definedName>
    <definedName name="F_02_360" localSheetId="14">#REF!</definedName>
    <definedName name="F_02_360" localSheetId="15">#REF!</definedName>
    <definedName name="F_02_360" localSheetId="16">#REF!</definedName>
    <definedName name="F_02_360" localSheetId="17">#REF!</definedName>
    <definedName name="F_02_360" localSheetId="18">#REF!</definedName>
    <definedName name="F_02_360" localSheetId="20">#REF!</definedName>
    <definedName name="F_02_360" localSheetId="21">#REF!</definedName>
    <definedName name="F_02_360" localSheetId="7">#REF!</definedName>
    <definedName name="F_02_360" localSheetId="3">#REF!</definedName>
    <definedName name="F_02_360" localSheetId="11">#REF!</definedName>
    <definedName name="F_02_360">#REF!</definedName>
    <definedName name="F_02_390" localSheetId="13">#REF!</definedName>
    <definedName name="F_02_390" localSheetId="14">#REF!</definedName>
    <definedName name="F_02_390" localSheetId="15">#REF!</definedName>
    <definedName name="F_02_390" localSheetId="16">#REF!</definedName>
    <definedName name="F_02_390" localSheetId="17">#REF!</definedName>
    <definedName name="F_02_390" localSheetId="18">#REF!</definedName>
    <definedName name="F_02_390" localSheetId="20">#REF!</definedName>
    <definedName name="F_02_390" localSheetId="21">#REF!</definedName>
    <definedName name="F_02_390" localSheetId="7">#REF!</definedName>
    <definedName name="F_02_390" localSheetId="3">#REF!</definedName>
    <definedName name="F_02_390" localSheetId="11">#REF!</definedName>
    <definedName name="F_02_390">#REF!</definedName>
    <definedName name="F_02_420" localSheetId="13">#REF!</definedName>
    <definedName name="F_02_420" localSheetId="14">#REF!</definedName>
    <definedName name="F_02_420" localSheetId="15">#REF!</definedName>
    <definedName name="F_02_420" localSheetId="16">#REF!</definedName>
    <definedName name="F_02_420" localSheetId="17">#REF!</definedName>
    <definedName name="F_02_420" localSheetId="18">#REF!</definedName>
    <definedName name="F_02_420" localSheetId="20">#REF!</definedName>
    <definedName name="F_02_420" localSheetId="21">#REF!</definedName>
    <definedName name="F_02_420" localSheetId="7">#REF!</definedName>
    <definedName name="F_02_420" localSheetId="3">#REF!</definedName>
    <definedName name="F_02_420" localSheetId="11">#REF!</definedName>
    <definedName name="F_02_420">#REF!</definedName>
    <definedName name="F_02_450" localSheetId="13">#REF!</definedName>
    <definedName name="F_02_450" localSheetId="14">#REF!</definedName>
    <definedName name="F_02_450" localSheetId="15">#REF!</definedName>
    <definedName name="F_02_450" localSheetId="16">#REF!</definedName>
    <definedName name="F_02_450" localSheetId="17">#REF!</definedName>
    <definedName name="F_02_450" localSheetId="18">#REF!</definedName>
    <definedName name="F_02_450" localSheetId="20">#REF!</definedName>
    <definedName name="F_02_450" localSheetId="21">#REF!</definedName>
    <definedName name="F_02_450" localSheetId="7">#REF!</definedName>
    <definedName name="F_02_450" localSheetId="3">#REF!</definedName>
    <definedName name="F_02_450" localSheetId="11">#REF!</definedName>
    <definedName name="F_02_450">#REF!</definedName>
    <definedName name="F_02_480" localSheetId="13">#REF!</definedName>
    <definedName name="F_02_480" localSheetId="14">#REF!</definedName>
    <definedName name="F_02_480" localSheetId="15">#REF!</definedName>
    <definedName name="F_02_480" localSheetId="16">#REF!</definedName>
    <definedName name="F_02_480" localSheetId="17">#REF!</definedName>
    <definedName name="F_02_480" localSheetId="18">#REF!</definedName>
    <definedName name="F_02_480" localSheetId="20">#REF!</definedName>
    <definedName name="F_02_480" localSheetId="21">#REF!</definedName>
    <definedName name="F_02_480" localSheetId="7">#REF!</definedName>
    <definedName name="F_02_480" localSheetId="3">#REF!</definedName>
    <definedName name="F_02_480" localSheetId="11">#REF!</definedName>
    <definedName name="F_02_480">#REF!</definedName>
    <definedName name="F_02_510" localSheetId="13">#REF!</definedName>
    <definedName name="F_02_510" localSheetId="14">#REF!</definedName>
    <definedName name="F_02_510" localSheetId="15">#REF!</definedName>
    <definedName name="F_02_510" localSheetId="16">#REF!</definedName>
    <definedName name="F_02_510" localSheetId="17">#REF!</definedName>
    <definedName name="F_02_510" localSheetId="18">#REF!</definedName>
    <definedName name="F_02_510" localSheetId="20">#REF!</definedName>
    <definedName name="F_02_510" localSheetId="21">#REF!</definedName>
    <definedName name="F_02_510" localSheetId="7">#REF!</definedName>
    <definedName name="F_02_510" localSheetId="3">#REF!</definedName>
    <definedName name="F_02_510" localSheetId="11">#REF!</definedName>
    <definedName name="F_02_510">#REF!</definedName>
    <definedName name="F_02_540" localSheetId="13">#REF!</definedName>
    <definedName name="F_02_540" localSheetId="14">#REF!</definedName>
    <definedName name="F_02_540" localSheetId="15">#REF!</definedName>
    <definedName name="F_02_540" localSheetId="16">#REF!</definedName>
    <definedName name="F_02_540" localSheetId="17">#REF!</definedName>
    <definedName name="F_02_540" localSheetId="18">#REF!</definedName>
    <definedName name="F_02_540" localSheetId="20">#REF!</definedName>
    <definedName name="F_02_540" localSheetId="21">#REF!</definedName>
    <definedName name="F_02_540" localSheetId="7">#REF!</definedName>
    <definedName name="F_02_540" localSheetId="3">#REF!</definedName>
    <definedName name="F_02_540" localSheetId="11">#REF!</definedName>
    <definedName name="F_02_540">#REF!</definedName>
    <definedName name="F_02_570" localSheetId="13">#REF!</definedName>
    <definedName name="F_02_570" localSheetId="14">#REF!</definedName>
    <definedName name="F_02_570" localSheetId="15">#REF!</definedName>
    <definedName name="F_02_570" localSheetId="16">#REF!</definedName>
    <definedName name="F_02_570" localSheetId="17">#REF!</definedName>
    <definedName name="F_02_570" localSheetId="18">#REF!</definedName>
    <definedName name="F_02_570" localSheetId="20">#REF!</definedName>
    <definedName name="F_02_570" localSheetId="21">#REF!</definedName>
    <definedName name="F_02_570" localSheetId="7">#REF!</definedName>
    <definedName name="F_02_570" localSheetId="3">#REF!</definedName>
    <definedName name="F_02_570" localSheetId="11">#REF!</definedName>
    <definedName name="F_02_570">#REF!</definedName>
    <definedName name="F_02_60" localSheetId="13">#REF!</definedName>
    <definedName name="F_02_60" localSheetId="14">#REF!</definedName>
    <definedName name="F_02_60" localSheetId="15">#REF!</definedName>
    <definedName name="F_02_60" localSheetId="16">#REF!</definedName>
    <definedName name="F_02_60" localSheetId="17">#REF!</definedName>
    <definedName name="F_02_60" localSheetId="18">#REF!</definedName>
    <definedName name="F_02_60" localSheetId="20">#REF!</definedName>
    <definedName name="F_02_60" localSheetId="21">#REF!</definedName>
    <definedName name="F_02_60" localSheetId="7">#REF!</definedName>
    <definedName name="F_02_60" localSheetId="3">#REF!</definedName>
    <definedName name="F_02_60" localSheetId="11">#REF!</definedName>
    <definedName name="F_02_60">#REF!</definedName>
    <definedName name="F_02_600" localSheetId="13">#REF!</definedName>
    <definedName name="F_02_600" localSheetId="14">#REF!</definedName>
    <definedName name="F_02_600" localSheetId="15">#REF!</definedName>
    <definedName name="F_02_600" localSheetId="16">#REF!</definedName>
    <definedName name="F_02_600" localSheetId="17">#REF!</definedName>
    <definedName name="F_02_600" localSheetId="18">#REF!</definedName>
    <definedName name="F_02_600" localSheetId="20">#REF!</definedName>
    <definedName name="F_02_600" localSheetId="21">#REF!</definedName>
    <definedName name="F_02_600" localSheetId="7">#REF!</definedName>
    <definedName name="F_02_600" localSheetId="3">#REF!</definedName>
    <definedName name="F_02_600" localSheetId="11">#REF!</definedName>
    <definedName name="F_02_600">#REF!</definedName>
    <definedName name="F_02_630" localSheetId="13">#REF!</definedName>
    <definedName name="F_02_630" localSheetId="14">#REF!</definedName>
    <definedName name="F_02_630" localSheetId="15">#REF!</definedName>
    <definedName name="F_02_630" localSheetId="16">#REF!</definedName>
    <definedName name="F_02_630" localSheetId="17">#REF!</definedName>
    <definedName name="F_02_630" localSheetId="18">#REF!</definedName>
    <definedName name="F_02_630" localSheetId="20">#REF!</definedName>
    <definedName name="F_02_630" localSheetId="21">#REF!</definedName>
    <definedName name="F_02_630" localSheetId="7">#REF!</definedName>
    <definedName name="F_02_630" localSheetId="3">#REF!</definedName>
    <definedName name="F_02_630" localSheetId="11">#REF!</definedName>
    <definedName name="F_02_630">#REF!</definedName>
    <definedName name="F_02_660" localSheetId="13">#REF!</definedName>
    <definedName name="F_02_660" localSheetId="14">#REF!</definedName>
    <definedName name="F_02_660" localSheetId="15">#REF!</definedName>
    <definedName name="F_02_660" localSheetId="16">#REF!</definedName>
    <definedName name="F_02_660" localSheetId="17">#REF!</definedName>
    <definedName name="F_02_660" localSheetId="18">#REF!</definedName>
    <definedName name="F_02_660" localSheetId="20">#REF!</definedName>
    <definedName name="F_02_660" localSheetId="21">#REF!</definedName>
    <definedName name="F_02_660" localSheetId="7">#REF!</definedName>
    <definedName name="F_02_660" localSheetId="3">#REF!</definedName>
    <definedName name="F_02_660" localSheetId="11">#REF!</definedName>
    <definedName name="F_02_660">#REF!</definedName>
    <definedName name="F_02_690" localSheetId="13">#REF!</definedName>
    <definedName name="F_02_690" localSheetId="14">#REF!</definedName>
    <definedName name="F_02_690" localSheetId="15">#REF!</definedName>
    <definedName name="F_02_690" localSheetId="16">#REF!</definedName>
    <definedName name="F_02_690" localSheetId="17">#REF!</definedName>
    <definedName name="F_02_690" localSheetId="18">#REF!</definedName>
    <definedName name="F_02_690" localSheetId="20">#REF!</definedName>
    <definedName name="F_02_690" localSheetId="21">#REF!</definedName>
    <definedName name="F_02_690" localSheetId="7">#REF!</definedName>
    <definedName name="F_02_690" localSheetId="3">#REF!</definedName>
    <definedName name="F_02_690" localSheetId="11">#REF!</definedName>
    <definedName name="F_02_690">#REF!</definedName>
    <definedName name="F_02_720" localSheetId="13">#REF!</definedName>
    <definedName name="F_02_720" localSheetId="14">#REF!</definedName>
    <definedName name="F_02_720" localSheetId="15">#REF!</definedName>
    <definedName name="F_02_720" localSheetId="16">#REF!</definedName>
    <definedName name="F_02_720" localSheetId="17">#REF!</definedName>
    <definedName name="F_02_720" localSheetId="18">#REF!</definedName>
    <definedName name="F_02_720" localSheetId="20">#REF!</definedName>
    <definedName name="F_02_720" localSheetId="21">#REF!</definedName>
    <definedName name="F_02_720" localSheetId="7">#REF!</definedName>
    <definedName name="F_02_720" localSheetId="3">#REF!</definedName>
    <definedName name="F_02_720" localSheetId="11">#REF!</definedName>
    <definedName name="F_02_720">#REF!</definedName>
    <definedName name="F_02_90" localSheetId="13">#REF!</definedName>
    <definedName name="F_02_90" localSheetId="14">#REF!</definedName>
    <definedName name="F_02_90" localSheetId="15">#REF!</definedName>
    <definedName name="F_02_90" localSheetId="16">#REF!</definedName>
    <definedName name="F_02_90" localSheetId="17">#REF!</definedName>
    <definedName name="F_02_90" localSheetId="18">#REF!</definedName>
    <definedName name="F_02_90" localSheetId="20">#REF!</definedName>
    <definedName name="F_02_90" localSheetId="21">#REF!</definedName>
    <definedName name="F_02_90" localSheetId="7">#REF!</definedName>
    <definedName name="F_02_90" localSheetId="3">#REF!</definedName>
    <definedName name="F_02_90" localSheetId="11">#REF!</definedName>
    <definedName name="F_02_90">#REF!</definedName>
    <definedName name="F_03_120" localSheetId="13">#REF!</definedName>
    <definedName name="F_03_120" localSheetId="14">#REF!</definedName>
    <definedName name="F_03_120" localSheetId="15">#REF!</definedName>
    <definedName name="F_03_120" localSheetId="16">#REF!</definedName>
    <definedName name="F_03_120" localSheetId="17">#REF!</definedName>
    <definedName name="F_03_120" localSheetId="18">#REF!</definedName>
    <definedName name="F_03_120" localSheetId="20">#REF!</definedName>
    <definedName name="F_03_120" localSheetId="21">#REF!</definedName>
    <definedName name="F_03_120" localSheetId="7">#REF!</definedName>
    <definedName name="F_03_120" localSheetId="3">#REF!</definedName>
    <definedName name="F_03_120" localSheetId="11">#REF!</definedName>
    <definedName name="F_03_120">#REF!</definedName>
    <definedName name="F_03_150" localSheetId="13">#REF!</definedName>
    <definedName name="F_03_150" localSheetId="14">#REF!</definedName>
    <definedName name="F_03_150" localSheetId="15">#REF!</definedName>
    <definedName name="F_03_150" localSheetId="16">#REF!</definedName>
    <definedName name="F_03_150" localSheetId="17">#REF!</definedName>
    <definedName name="F_03_150" localSheetId="18">#REF!</definedName>
    <definedName name="F_03_150" localSheetId="20">#REF!</definedName>
    <definedName name="F_03_150" localSheetId="21">#REF!</definedName>
    <definedName name="F_03_150" localSheetId="7">#REF!</definedName>
    <definedName name="F_03_150" localSheetId="3">#REF!</definedName>
    <definedName name="F_03_150" localSheetId="11">#REF!</definedName>
    <definedName name="F_03_150">#REF!</definedName>
    <definedName name="F_03_180" localSheetId="13">#REF!</definedName>
    <definedName name="F_03_180" localSheetId="14">#REF!</definedName>
    <definedName name="F_03_180" localSheetId="15">#REF!</definedName>
    <definedName name="F_03_180" localSheetId="16">#REF!</definedName>
    <definedName name="F_03_180" localSheetId="17">#REF!</definedName>
    <definedName name="F_03_180" localSheetId="18">#REF!</definedName>
    <definedName name="F_03_180" localSheetId="20">#REF!</definedName>
    <definedName name="F_03_180" localSheetId="21">#REF!</definedName>
    <definedName name="F_03_180" localSheetId="7">#REF!</definedName>
    <definedName name="F_03_180" localSheetId="3">#REF!</definedName>
    <definedName name="F_03_180" localSheetId="11">#REF!</definedName>
    <definedName name="F_03_180">#REF!</definedName>
    <definedName name="F_03_210" localSheetId="13">#REF!</definedName>
    <definedName name="F_03_210" localSheetId="14">#REF!</definedName>
    <definedName name="F_03_210" localSheetId="15">#REF!</definedName>
    <definedName name="F_03_210" localSheetId="16">#REF!</definedName>
    <definedName name="F_03_210" localSheetId="17">#REF!</definedName>
    <definedName name="F_03_210" localSheetId="18">#REF!</definedName>
    <definedName name="F_03_210" localSheetId="20">#REF!</definedName>
    <definedName name="F_03_210" localSheetId="21">#REF!</definedName>
    <definedName name="F_03_210" localSheetId="7">#REF!</definedName>
    <definedName name="F_03_210" localSheetId="3">#REF!</definedName>
    <definedName name="F_03_210" localSheetId="11">#REF!</definedName>
    <definedName name="F_03_210">#REF!</definedName>
    <definedName name="F_03_240" localSheetId="13">#REF!</definedName>
    <definedName name="F_03_240" localSheetId="14">#REF!</definedName>
    <definedName name="F_03_240" localSheetId="15">#REF!</definedName>
    <definedName name="F_03_240" localSheetId="16">#REF!</definedName>
    <definedName name="F_03_240" localSheetId="17">#REF!</definedName>
    <definedName name="F_03_240" localSheetId="18">#REF!</definedName>
    <definedName name="F_03_240" localSheetId="20">#REF!</definedName>
    <definedName name="F_03_240" localSheetId="21">#REF!</definedName>
    <definedName name="F_03_240" localSheetId="7">#REF!</definedName>
    <definedName name="F_03_240" localSheetId="3">#REF!</definedName>
    <definedName name="F_03_240" localSheetId="11">#REF!</definedName>
    <definedName name="F_03_240">#REF!</definedName>
    <definedName name="F_03_270" localSheetId="13">#REF!</definedName>
    <definedName name="F_03_270" localSheetId="14">#REF!</definedName>
    <definedName name="F_03_270" localSheetId="15">#REF!</definedName>
    <definedName name="F_03_270" localSheetId="16">#REF!</definedName>
    <definedName name="F_03_270" localSheetId="17">#REF!</definedName>
    <definedName name="F_03_270" localSheetId="18">#REF!</definedName>
    <definedName name="F_03_270" localSheetId="20">#REF!</definedName>
    <definedName name="F_03_270" localSheetId="21">#REF!</definedName>
    <definedName name="F_03_270" localSheetId="7">#REF!</definedName>
    <definedName name="F_03_270" localSheetId="3">#REF!</definedName>
    <definedName name="F_03_270" localSheetId="11">#REF!</definedName>
    <definedName name="F_03_270">#REF!</definedName>
    <definedName name="F_03_30" localSheetId="13">#REF!</definedName>
    <definedName name="F_03_30" localSheetId="14">#REF!</definedName>
    <definedName name="F_03_30" localSheetId="15">#REF!</definedName>
    <definedName name="F_03_30" localSheetId="16">#REF!</definedName>
    <definedName name="F_03_30" localSheetId="17">#REF!</definedName>
    <definedName name="F_03_30" localSheetId="18">#REF!</definedName>
    <definedName name="F_03_30" localSheetId="20">#REF!</definedName>
    <definedName name="F_03_30" localSheetId="21">#REF!</definedName>
    <definedName name="F_03_30" localSheetId="7">#REF!</definedName>
    <definedName name="F_03_30" localSheetId="3">#REF!</definedName>
    <definedName name="F_03_30" localSheetId="11">#REF!</definedName>
    <definedName name="F_03_30">#REF!</definedName>
    <definedName name="F_03_300" localSheetId="13">#REF!</definedName>
    <definedName name="F_03_300" localSheetId="14">#REF!</definedName>
    <definedName name="F_03_300" localSheetId="15">#REF!</definedName>
    <definedName name="F_03_300" localSheetId="16">#REF!</definedName>
    <definedName name="F_03_300" localSheetId="17">#REF!</definedName>
    <definedName name="F_03_300" localSheetId="18">#REF!</definedName>
    <definedName name="F_03_300" localSheetId="20">#REF!</definedName>
    <definedName name="F_03_300" localSheetId="21">#REF!</definedName>
    <definedName name="F_03_300" localSheetId="7">#REF!</definedName>
    <definedName name="F_03_300" localSheetId="3">#REF!</definedName>
    <definedName name="F_03_300" localSheetId="11">#REF!</definedName>
    <definedName name="F_03_300">#REF!</definedName>
    <definedName name="F_03_330" localSheetId="13">#REF!</definedName>
    <definedName name="F_03_330" localSheetId="14">#REF!</definedName>
    <definedName name="F_03_330" localSheetId="15">#REF!</definedName>
    <definedName name="F_03_330" localSheetId="16">#REF!</definedName>
    <definedName name="F_03_330" localSheetId="17">#REF!</definedName>
    <definedName name="F_03_330" localSheetId="18">#REF!</definedName>
    <definedName name="F_03_330" localSheetId="20">#REF!</definedName>
    <definedName name="F_03_330" localSheetId="21">#REF!</definedName>
    <definedName name="F_03_330" localSheetId="7">#REF!</definedName>
    <definedName name="F_03_330" localSheetId="3">#REF!</definedName>
    <definedName name="F_03_330" localSheetId="11">#REF!</definedName>
    <definedName name="F_03_330">#REF!</definedName>
    <definedName name="F_03_360" localSheetId="13">#REF!</definedName>
    <definedName name="F_03_360" localSheetId="14">#REF!</definedName>
    <definedName name="F_03_360" localSheetId="15">#REF!</definedName>
    <definedName name="F_03_360" localSheetId="16">#REF!</definedName>
    <definedName name="F_03_360" localSheetId="17">#REF!</definedName>
    <definedName name="F_03_360" localSheetId="18">#REF!</definedName>
    <definedName name="F_03_360" localSheetId="20">#REF!</definedName>
    <definedName name="F_03_360" localSheetId="21">#REF!</definedName>
    <definedName name="F_03_360" localSheetId="7">#REF!</definedName>
    <definedName name="F_03_360" localSheetId="3">#REF!</definedName>
    <definedName name="F_03_360" localSheetId="11">#REF!</definedName>
    <definedName name="F_03_360">#REF!</definedName>
    <definedName name="F_03_390" localSheetId="13">#REF!</definedName>
    <definedName name="F_03_390" localSheetId="14">#REF!</definedName>
    <definedName name="F_03_390" localSheetId="15">#REF!</definedName>
    <definedName name="F_03_390" localSheetId="16">#REF!</definedName>
    <definedName name="F_03_390" localSheetId="17">#REF!</definedName>
    <definedName name="F_03_390" localSheetId="18">#REF!</definedName>
    <definedName name="F_03_390" localSheetId="20">#REF!</definedName>
    <definedName name="F_03_390" localSheetId="21">#REF!</definedName>
    <definedName name="F_03_390" localSheetId="7">#REF!</definedName>
    <definedName name="F_03_390" localSheetId="3">#REF!</definedName>
    <definedName name="F_03_390" localSheetId="11">#REF!</definedName>
    <definedName name="F_03_390">#REF!</definedName>
    <definedName name="F_03_420" localSheetId="13">#REF!</definedName>
    <definedName name="F_03_420" localSheetId="14">#REF!</definedName>
    <definedName name="F_03_420" localSheetId="15">#REF!</definedName>
    <definedName name="F_03_420" localSheetId="16">#REF!</definedName>
    <definedName name="F_03_420" localSheetId="17">#REF!</definedName>
    <definedName name="F_03_420" localSheetId="18">#REF!</definedName>
    <definedName name="F_03_420" localSheetId="20">#REF!</definedName>
    <definedName name="F_03_420" localSheetId="21">#REF!</definedName>
    <definedName name="F_03_420" localSheetId="7">#REF!</definedName>
    <definedName name="F_03_420" localSheetId="3">#REF!</definedName>
    <definedName name="F_03_420" localSheetId="11">#REF!</definedName>
    <definedName name="F_03_420">#REF!</definedName>
    <definedName name="F_03_450" localSheetId="13">#REF!</definedName>
    <definedName name="F_03_450" localSheetId="14">#REF!</definedName>
    <definedName name="F_03_450" localSheetId="15">#REF!</definedName>
    <definedName name="F_03_450" localSheetId="16">#REF!</definedName>
    <definedName name="F_03_450" localSheetId="17">#REF!</definedName>
    <definedName name="F_03_450" localSheetId="18">#REF!</definedName>
    <definedName name="F_03_450" localSheetId="20">#REF!</definedName>
    <definedName name="F_03_450" localSheetId="21">#REF!</definedName>
    <definedName name="F_03_450" localSheetId="7">#REF!</definedName>
    <definedName name="F_03_450" localSheetId="3">#REF!</definedName>
    <definedName name="F_03_450" localSheetId="11">#REF!</definedName>
    <definedName name="F_03_450">#REF!</definedName>
    <definedName name="F_03_480" localSheetId="13">#REF!</definedName>
    <definedName name="F_03_480" localSheetId="14">#REF!</definedName>
    <definedName name="F_03_480" localSheetId="15">#REF!</definedName>
    <definedName name="F_03_480" localSheetId="16">#REF!</definedName>
    <definedName name="F_03_480" localSheetId="17">#REF!</definedName>
    <definedName name="F_03_480" localSheetId="18">#REF!</definedName>
    <definedName name="F_03_480" localSheetId="20">#REF!</definedName>
    <definedName name="F_03_480" localSheetId="21">#REF!</definedName>
    <definedName name="F_03_480" localSheetId="7">#REF!</definedName>
    <definedName name="F_03_480" localSheetId="3">#REF!</definedName>
    <definedName name="F_03_480" localSheetId="11">#REF!</definedName>
    <definedName name="F_03_480">#REF!</definedName>
    <definedName name="F_03_510" localSheetId="13">#REF!</definedName>
    <definedName name="F_03_510" localSheetId="14">#REF!</definedName>
    <definedName name="F_03_510" localSheetId="15">#REF!</definedName>
    <definedName name="F_03_510" localSheetId="16">#REF!</definedName>
    <definedName name="F_03_510" localSheetId="17">#REF!</definedName>
    <definedName name="F_03_510" localSheetId="18">#REF!</definedName>
    <definedName name="F_03_510" localSheetId="20">#REF!</definedName>
    <definedName name="F_03_510" localSheetId="21">#REF!</definedName>
    <definedName name="F_03_510" localSheetId="7">#REF!</definedName>
    <definedName name="F_03_510" localSheetId="3">#REF!</definedName>
    <definedName name="F_03_510" localSheetId="11">#REF!</definedName>
    <definedName name="F_03_510">#REF!</definedName>
    <definedName name="F_03_540" localSheetId="13">#REF!</definedName>
    <definedName name="F_03_540" localSheetId="14">#REF!</definedName>
    <definedName name="F_03_540" localSheetId="15">#REF!</definedName>
    <definedName name="F_03_540" localSheetId="16">#REF!</definedName>
    <definedName name="F_03_540" localSheetId="17">#REF!</definedName>
    <definedName name="F_03_540" localSheetId="18">#REF!</definedName>
    <definedName name="F_03_540" localSheetId="20">#REF!</definedName>
    <definedName name="F_03_540" localSheetId="21">#REF!</definedName>
    <definedName name="F_03_540" localSheetId="7">#REF!</definedName>
    <definedName name="F_03_540" localSheetId="3">#REF!</definedName>
    <definedName name="F_03_540" localSheetId="11">#REF!</definedName>
    <definedName name="F_03_540">#REF!</definedName>
    <definedName name="F_03_570" localSheetId="13">#REF!</definedName>
    <definedName name="F_03_570" localSheetId="14">#REF!</definedName>
    <definedName name="F_03_570" localSheetId="15">#REF!</definedName>
    <definedName name="F_03_570" localSheetId="16">#REF!</definedName>
    <definedName name="F_03_570" localSheetId="17">#REF!</definedName>
    <definedName name="F_03_570" localSheetId="18">#REF!</definedName>
    <definedName name="F_03_570" localSheetId="20">#REF!</definedName>
    <definedName name="F_03_570" localSheetId="21">#REF!</definedName>
    <definedName name="F_03_570" localSheetId="7">#REF!</definedName>
    <definedName name="F_03_570" localSheetId="3">#REF!</definedName>
    <definedName name="F_03_570" localSheetId="11">#REF!</definedName>
    <definedName name="F_03_570">#REF!</definedName>
    <definedName name="F_03_60" localSheetId="13">#REF!</definedName>
    <definedName name="F_03_60" localSheetId="14">#REF!</definedName>
    <definedName name="F_03_60" localSheetId="15">#REF!</definedName>
    <definedName name="F_03_60" localSheetId="16">#REF!</definedName>
    <definedName name="F_03_60" localSheetId="17">#REF!</definedName>
    <definedName name="F_03_60" localSheetId="18">#REF!</definedName>
    <definedName name="F_03_60" localSheetId="20">#REF!</definedName>
    <definedName name="F_03_60" localSheetId="21">#REF!</definedName>
    <definedName name="F_03_60" localSheetId="7">#REF!</definedName>
    <definedName name="F_03_60" localSheetId="3">#REF!</definedName>
    <definedName name="F_03_60" localSheetId="11">#REF!</definedName>
    <definedName name="F_03_60">#REF!</definedName>
    <definedName name="F_03_600" localSheetId="13">#REF!</definedName>
    <definedName name="F_03_600" localSheetId="14">#REF!</definedName>
    <definedName name="F_03_600" localSheetId="15">#REF!</definedName>
    <definedName name="F_03_600" localSheetId="16">#REF!</definedName>
    <definedName name="F_03_600" localSheetId="17">#REF!</definedName>
    <definedName name="F_03_600" localSheetId="18">#REF!</definedName>
    <definedName name="F_03_600" localSheetId="20">#REF!</definedName>
    <definedName name="F_03_600" localSheetId="21">#REF!</definedName>
    <definedName name="F_03_600" localSheetId="7">#REF!</definedName>
    <definedName name="F_03_600" localSheetId="3">#REF!</definedName>
    <definedName name="F_03_600" localSheetId="11">#REF!</definedName>
    <definedName name="F_03_600">#REF!</definedName>
    <definedName name="F_03_630" localSheetId="13">#REF!</definedName>
    <definedName name="F_03_630" localSheetId="14">#REF!</definedName>
    <definedName name="F_03_630" localSheetId="15">#REF!</definedName>
    <definedName name="F_03_630" localSheetId="16">#REF!</definedName>
    <definedName name="F_03_630" localSheetId="17">#REF!</definedName>
    <definedName name="F_03_630" localSheetId="18">#REF!</definedName>
    <definedName name="F_03_630" localSheetId="20">#REF!</definedName>
    <definedName name="F_03_630" localSheetId="21">#REF!</definedName>
    <definedName name="F_03_630" localSheetId="7">#REF!</definedName>
    <definedName name="F_03_630" localSheetId="3">#REF!</definedName>
    <definedName name="F_03_630" localSheetId="11">#REF!</definedName>
    <definedName name="F_03_630">#REF!</definedName>
    <definedName name="F_03_660" localSheetId="13">#REF!</definedName>
    <definedName name="F_03_660" localSheetId="14">#REF!</definedName>
    <definedName name="F_03_660" localSheetId="15">#REF!</definedName>
    <definedName name="F_03_660" localSheetId="16">#REF!</definedName>
    <definedName name="F_03_660" localSheetId="17">#REF!</definedName>
    <definedName name="F_03_660" localSheetId="18">#REF!</definedName>
    <definedName name="F_03_660" localSheetId="20">#REF!</definedName>
    <definedName name="F_03_660" localSheetId="21">#REF!</definedName>
    <definedName name="F_03_660" localSheetId="7">#REF!</definedName>
    <definedName name="F_03_660" localSheetId="3">#REF!</definedName>
    <definedName name="F_03_660" localSheetId="11">#REF!</definedName>
    <definedName name="F_03_660">#REF!</definedName>
    <definedName name="F_03_690" localSheetId="13">#REF!</definedName>
    <definedName name="F_03_690" localSheetId="14">#REF!</definedName>
    <definedName name="F_03_690" localSheetId="15">#REF!</definedName>
    <definedName name="F_03_690" localSheetId="16">#REF!</definedName>
    <definedName name="F_03_690" localSheetId="17">#REF!</definedName>
    <definedName name="F_03_690" localSheetId="18">#REF!</definedName>
    <definedName name="F_03_690" localSheetId="20">#REF!</definedName>
    <definedName name="F_03_690" localSheetId="21">#REF!</definedName>
    <definedName name="F_03_690" localSheetId="7">#REF!</definedName>
    <definedName name="F_03_690" localSheetId="3">#REF!</definedName>
    <definedName name="F_03_690" localSheetId="11">#REF!</definedName>
    <definedName name="F_03_690">#REF!</definedName>
    <definedName name="F_03_720" localSheetId="13">#REF!</definedName>
    <definedName name="F_03_720" localSheetId="14">#REF!</definedName>
    <definedName name="F_03_720" localSheetId="15">#REF!</definedName>
    <definedName name="F_03_720" localSheetId="16">#REF!</definedName>
    <definedName name="F_03_720" localSheetId="17">#REF!</definedName>
    <definedName name="F_03_720" localSheetId="18">#REF!</definedName>
    <definedName name="F_03_720" localSheetId="20">#REF!</definedName>
    <definedName name="F_03_720" localSheetId="21">#REF!</definedName>
    <definedName name="F_03_720" localSheetId="7">#REF!</definedName>
    <definedName name="F_03_720" localSheetId="3">#REF!</definedName>
    <definedName name="F_03_720" localSheetId="11">#REF!</definedName>
    <definedName name="F_03_720">#REF!</definedName>
    <definedName name="F_03_90" localSheetId="13">#REF!</definedName>
    <definedName name="F_03_90" localSheetId="14">#REF!</definedName>
    <definedName name="F_03_90" localSheetId="15">#REF!</definedName>
    <definedName name="F_03_90" localSheetId="16">#REF!</definedName>
    <definedName name="F_03_90" localSheetId="17">#REF!</definedName>
    <definedName name="F_03_90" localSheetId="18">#REF!</definedName>
    <definedName name="F_03_90" localSheetId="20">#REF!</definedName>
    <definedName name="F_03_90" localSheetId="21">#REF!</definedName>
    <definedName name="F_03_90" localSheetId="7">#REF!</definedName>
    <definedName name="F_03_90" localSheetId="3">#REF!</definedName>
    <definedName name="F_03_90" localSheetId="11">#REF!</definedName>
    <definedName name="F_03_90">#REF!</definedName>
    <definedName name="F_04_120" localSheetId="13">#REF!</definedName>
    <definedName name="F_04_120" localSheetId="14">#REF!</definedName>
    <definedName name="F_04_120" localSheetId="15">#REF!</definedName>
    <definedName name="F_04_120" localSheetId="16">#REF!</definedName>
    <definedName name="F_04_120" localSheetId="17">#REF!</definedName>
    <definedName name="F_04_120" localSheetId="18">#REF!</definedName>
    <definedName name="F_04_120" localSheetId="20">#REF!</definedName>
    <definedName name="F_04_120" localSheetId="21">#REF!</definedName>
    <definedName name="F_04_120" localSheetId="7">#REF!</definedName>
    <definedName name="F_04_120" localSheetId="3">#REF!</definedName>
    <definedName name="F_04_120" localSheetId="11">#REF!</definedName>
    <definedName name="F_04_120">#REF!</definedName>
    <definedName name="F_04_150" localSheetId="13">#REF!</definedName>
    <definedName name="F_04_150" localSheetId="14">#REF!</definedName>
    <definedName name="F_04_150" localSheetId="15">#REF!</definedName>
    <definedName name="F_04_150" localSheetId="16">#REF!</definedName>
    <definedName name="F_04_150" localSheetId="17">#REF!</definedName>
    <definedName name="F_04_150" localSheetId="18">#REF!</definedName>
    <definedName name="F_04_150" localSheetId="20">#REF!</definedName>
    <definedName name="F_04_150" localSheetId="21">#REF!</definedName>
    <definedName name="F_04_150" localSheetId="7">#REF!</definedName>
    <definedName name="F_04_150" localSheetId="3">#REF!</definedName>
    <definedName name="F_04_150" localSheetId="11">#REF!</definedName>
    <definedName name="F_04_150">#REF!</definedName>
    <definedName name="F_04_180" localSheetId="13">#REF!</definedName>
    <definedName name="F_04_180" localSheetId="14">#REF!</definedName>
    <definedName name="F_04_180" localSheetId="15">#REF!</definedName>
    <definedName name="F_04_180" localSheetId="16">#REF!</definedName>
    <definedName name="F_04_180" localSheetId="17">#REF!</definedName>
    <definedName name="F_04_180" localSheetId="18">#REF!</definedName>
    <definedName name="F_04_180" localSheetId="20">#REF!</definedName>
    <definedName name="F_04_180" localSheetId="21">#REF!</definedName>
    <definedName name="F_04_180" localSheetId="7">#REF!</definedName>
    <definedName name="F_04_180" localSheetId="3">#REF!</definedName>
    <definedName name="F_04_180" localSheetId="11">#REF!</definedName>
    <definedName name="F_04_180">#REF!</definedName>
    <definedName name="F_04_210" localSheetId="13">#REF!</definedName>
    <definedName name="F_04_210" localSheetId="14">#REF!</definedName>
    <definedName name="F_04_210" localSheetId="15">#REF!</definedName>
    <definedName name="F_04_210" localSheetId="16">#REF!</definedName>
    <definedName name="F_04_210" localSheetId="17">#REF!</definedName>
    <definedName name="F_04_210" localSheetId="18">#REF!</definedName>
    <definedName name="F_04_210" localSheetId="20">#REF!</definedName>
    <definedName name="F_04_210" localSheetId="21">#REF!</definedName>
    <definedName name="F_04_210" localSheetId="7">#REF!</definedName>
    <definedName name="F_04_210" localSheetId="3">#REF!</definedName>
    <definedName name="F_04_210" localSheetId="11">#REF!</definedName>
    <definedName name="F_04_210">#REF!</definedName>
    <definedName name="F_04_240" localSheetId="13">#REF!</definedName>
    <definedName name="F_04_240" localSheetId="14">#REF!</definedName>
    <definedName name="F_04_240" localSheetId="15">#REF!</definedName>
    <definedName name="F_04_240" localSheetId="16">#REF!</definedName>
    <definedName name="F_04_240" localSheetId="17">#REF!</definedName>
    <definedName name="F_04_240" localSheetId="18">#REF!</definedName>
    <definedName name="F_04_240" localSheetId="20">#REF!</definedName>
    <definedName name="F_04_240" localSheetId="21">#REF!</definedName>
    <definedName name="F_04_240" localSheetId="7">#REF!</definedName>
    <definedName name="F_04_240" localSheetId="3">#REF!</definedName>
    <definedName name="F_04_240" localSheetId="11">#REF!</definedName>
    <definedName name="F_04_240">#REF!</definedName>
    <definedName name="F_04_270" localSheetId="13">#REF!</definedName>
    <definedName name="F_04_270" localSheetId="14">#REF!</definedName>
    <definedName name="F_04_270" localSheetId="15">#REF!</definedName>
    <definedName name="F_04_270" localSheetId="16">#REF!</definedName>
    <definedName name="F_04_270" localSheetId="17">#REF!</definedName>
    <definedName name="F_04_270" localSheetId="18">#REF!</definedName>
    <definedName name="F_04_270" localSheetId="20">#REF!</definedName>
    <definedName name="F_04_270" localSheetId="21">#REF!</definedName>
    <definedName name="F_04_270" localSheetId="7">#REF!</definedName>
    <definedName name="F_04_270" localSheetId="3">#REF!</definedName>
    <definedName name="F_04_270" localSheetId="11">#REF!</definedName>
    <definedName name="F_04_270">#REF!</definedName>
    <definedName name="F_04_30" localSheetId="13">#REF!</definedName>
    <definedName name="F_04_30" localSheetId="14">#REF!</definedName>
    <definedName name="F_04_30" localSheetId="15">#REF!</definedName>
    <definedName name="F_04_30" localSheetId="16">#REF!</definedName>
    <definedName name="F_04_30" localSheetId="17">#REF!</definedName>
    <definedName name="F_04_30" localSheetId="18">#REF!</definedName>
    <definedName name="F_04_30" localSheetId="20">#REF!</definedName>
    <definedName name="F_04_30" localSheetId="21">#REF!</definedName>
    <definedName name="F_04_30" localSheetId="7">#REF!</definedName>
    <definedName name="F_04_30" localSheetId="3">#REF!</definedName>
    <definedName name="F_04_30" localSheetId="11">#REF!</definedName>
    <definedName name="F_04_30">#REF!</definedName>
    <definedName name="F_04_300" localSheetId="13">#REF!</definedName>
    <definedName name="F_04_300" localSheetId="14">#REF!</definedName>
    <definedName name="F_04_300" localSheetId="15">#REF!</definedName>
    <definedName name="F_04_300" localSheetId="16">#REF!</definedName>
    <definedName name="F_04_300" localSheetId="17">#REF!</definedName>
    <definedName name="F_04_300" localSheetId="18">#REF!</definedName>
    <definedName name="F_04_300" localSheetId="20">#REF!</definedName>
    <definedName name="F_04_300" localSheetId="21">#REF!</definedName>
    <definedName name="F_04_300" localSheetId="7">#REF!</definedName>
    <definedName name="F_04_300" localSheetId="3">#REF!</definedName>
    <definedName name="F_04_300" localSheetId="11">#REF!</definedName>
    <definedName name="F_04_300">#REF!</definedName>
    <definedName name="F_04_330" localSheetId="13">#REF!</definedName>
    <definedName name="F_04_330" localSheetId="14">#REF!</definedName>
    <definedName name="F_04_330" localSheetId="15">#REF!</definedName>
    <definedName name="F_04_330" localSheetId="16">#REF!</definedName>
    <definedName name="F_04_330" localSheetId="17">#REF!</definedName>
    <definedName name="F_04_330" localSheetId="18">#REF!</definedName>
    <definedName name="F_04_330" localSheetId="20">#REF!</definedName>
    <definedName name="F_04_330" localSheetId="21">#REF!</definedName>
    <definedName name="F_04_330" localSheetId="7">#REF!</definedName>
    <definedName name="F_04_330" localSheetId="3">#REF!</definedName>
    <definedName name="F_04_330" localSheetId="11">#REF!</definedName>
    <definedName name="F_04_330">#REF!</definedName>
    <definedName name="F_04_360" localSheetId="13">#REF!</definedName>
    <definedName name="F_04_360" localSheetId="14">#REF!</definedName>
    <definedName name="F_04_360" localSheetId="15">#REF!</definedName>
    <definedName name="F_04_360" localSheetId="16">#REF!</definedName>
    <definedName name="F_04_360" localSheetId="17">#REF!</definedName>
    <definedName name="F_04_360" localSheetId="18">#REF!</definedName>
    <definedName name="F_04_360" localSheetId="20">#REF!</definedName>
    <definedName name="F_04_360" localSheetId="21">#REF!</definedName>
    <definedName name="F_04_360" localSheetId="7">#REF!</definedName>
    <definedName name="F_04_360" localSheetId="3">#REF!</definedName>
    <definedName name="F_04_360" localSheetId="11">#REF!</definedName>
    <definedName name="F_04_360">#REF!</definedName>
    <definedName name="F_04_390" localSheetId="13">#REF!</definedName>
    <definedName name="F_04_390" localSheetId="14">#REF!</definedName>
    <definedName name="F_04_390" localSheetId="15">#REF!</definedName>
    <definedName name="F_04_390" localSheetId="16">#REF!</definedName>
    <definedName name="F_04_390" localSheetId="17">#REF!</definedName>
    <definedName name="F_04_390" localSheetId="18">#REF!</definedName>
    <definedName name="F_04_390" localSheetId="20">#REF!</definedName>
    <definedName name="F_04_390" localSheetId="21">#REF!</definedName>
    <definedName name="F_04_390" localSheetId="7">#REF!</definedName>
    <definedName name="F_04_390" localSheetId="3">#REF!</definedName>
    <definedName name="F_04_390" localSheetId="11">#REF!</definedName>
    <definedName name="F_04_390">#REF!</definedName>
    <definedName name="F_04_420" localSheetId="13">#REF!</definedName>
    <definedName name="F_04_420" localSheetId="14">#REF!</definedName>
    <definedName name="F_04_420" localSheetId="15">#REF!</definedName>
    <definedName name="F_04_420" localSheetId="16">#REF!</definedName>
    <definedName name="F_04_420" localSheetId="17">#REF!</definedName>
    <definedName name="F_04_420" localSheetId="18">#REF!</definedName>
    <definedName name="F_04_420" localSheetId="20">#REF!</definedName>
    <definedName name="F_04_420" localSheetId="21">#REF!</definedName>
    <definedName name="F_04_420" localSheetId="7">#REF!</definedName>
    <definedName name="F_04_420" localSheetId="3">#REF!</definedName>
    <definedName name="F_04_420" localSheetId="11">#REF!</definedName>
    <definedName name="F_04_420">#REF!</definedName>
    <definedName name="F_04_450" localSheetId="13">#REF!</definedName>
    <definedName name="F_04_450" localSheetId="14">#REF!</definedName>
    <definedName name="F_04_450" localSheetId="15">#REF!</definedName>
    <definedName name="F_04_450" localSheetId="16">#REF!</definedName>
    <definedName name="F_04_450" localSheetId="17">#REF!</definedName>
    <definedName name="F_04_450" localSheetId="18">#REF!</definedName>
    <definedName name="F_04_450" localSheetId="20">#REF!</definedName>
    <definedName name="F_04_450" localSheetId="21">#REF!</definedName>
    <definedName name="F_04_450" localSheetId="7">#REF!</definedName>
    <definedName name="F_04_450" localSheetId="3">#REF!</definedName>
    <definedName name="F_04_450" localSheetId="11">#REF!</definedName>
    <definedName name="F_04_450">#REF!</definedName>
    <definedName name="F_04_480" localSheetId="13">#REF!</definedName>
    <definedName name="F_04_480" localSheetId="14">#REF!</definedName>
    <definedName name="F_04_480" localSheetId="15">#REF!</definedName>
    <definedName name="F_04_480" localSheetId="16">#REF!</definedName>
    <definedName name="F_04_480" localSheetId="17">#REF!</definedName>
    <definedName name="F_04_480" localSheetId="18">#REF!</definedName>
    <definedName name="F_04_480" localSheetId="20">#REF!</definedName>
    <definedName name="F_04_480" localSheetId="21">#REF!</definedName>
    <definedName name="F_04_480" localSheetId="7">#REF!</definedName>
    <definedName name="F_04_480" localSheetId="3">#REF!</definedName>
    <definedName name="F_04_480" localSheetId="11">#REF!</definedName>
    <definedName name="F_04_480">#REF!</definedName>
    <definedName name="F_04_510" localSheetId="13">#REF!</definedName>
    <definedName name="F_04_510" localSheetId="14">#REF!</definedName>
    <definedName name="F_04_510" localSheetId="15">#REF!</definedName>
    <definedName name="F_04_510" localSheetId="16">#REF!</definedName>
    <definedName name="F_04_510" localSheetId="17">#REF!</definedName>
    <definedName name="F_04_510" localSheetId="18">#REF!</definedName>
    <definedName name="F_04_510" localSheetId="20">#REF!</definedName>
    <definedName name="F_04_510" localSheetId="21">#REF!</definedName>
    <definedName name="F_04_510" localSheetId="7">#REF!</definedName>
    <definedName name="F_04_510" localSheetId="3">#REF!</definedName>
    <definedName name="F_04_510" localSheetId="11">#REF!</definedName>
    <definedName name="F_04_510">#REF!</definedName>
    <definedName name="F_04_540" localSheetId="13">#REF!</definedName>
    <definedName name="F_04_540" localSheetId="14">#REF!</definedName>
    <definedName name="F_04_540" localSheetId="15">#REF!</definedName>
    <definedName name="F_04_540" localSheetId="16">#REF!</definedName>
    <definedName name="F_04_540" localSheetId="17">#REF!</definedName>
    <definedName name="F_04_540" localSheetId="18">#REF!</definedName>
    <definedName name="F_04_540" localSheetId="20">#REF!</definedName>
    <definedName name="F_04_540" localSheetId="21">#REF!</definedName>
    <definedName name="F_04_540" localSheetId="7">#REF!</definedName>
    <definedName name="F_04_540" localSheetId="3">#REF!</definedName>
    <definedName name="F_04_540" localSheetId="11">#REF!</definedName>
    <definedName name="F_04_540">#REF!</definedName>
    <definedName name="F_04_570" localSheetId="13">#REF!</definedName>
    <definedName name="F_04_570" localSheetId="14">#REF!</definedName>
    <definedName name="F_04_570" localSheetId="15">#REF!</definedName>
    <definedName name="F_04_570" localSheetId="16">#REF!</definedName>
    <definedName name="F_04_570" localSheetId="17">#REF!</definedName>
    <definedName name="F_04_570" localSheetId="18">#REF!</definedName>
    <definedName name="F_04_570" localSheetId="20">#REF!</definedName>
    <definedName name="F_04_570" localSheetId="21">#REF!</definedName>
    <definedName name="F_04_570" localSheetId="7">#REF!</definedName>
    <definedName name="F_04_570" localSheetId="3">#REF!</definedName>
    <definedName name="F_04_570" localSheetId="11">#REF!</definedName>
    <definedName name="F_04_570">#REF!</definedName>
    <definedName name="F_04_60" localSheetId="13">#REF!</definedName>
    <definedName name="F_04_60" localSheetId="14">#REF!</definedName>
    <definedName name="F_04_60" localSheetId="15">#REF!</definedName>
    <definedName name="F_04_60" localSheetId="16">#REF!</definedName>
    <definedName name="F_04_60" localSheetId="17">#REF!</definedName>
    <definedName name="F_04_60" localSheetId="18">#REF!</definedName>
    <definedName name="F_04_60" localSheetId="20">#REF!</definedName>
    <definedName name="F_04_60" localSheetId="21">#REF!</definedName>
    <definedName name="F_04_60" localSheetId="7">#REF!</definedName>
    <definedName name="F_04_60" localSheetId="3">#REF!</definedName>
    <definedName name="F_04_60" localSheetId="11">#REF!</definedName>
    <definedName name="F_04_60">#REF!</definedName>
    <definedName name="F_04_600" localSheetId="13">#REF!</definedName>
    <definedName name="F_04_600" localSheetId="14">#REF!</definedName>
    <definedName name="F_04_600" localSheetId="15">#REF!</definedName>
    <definedName name="F_04_600" localSheetId="16">#REF!</definedName>
    <definedName name="F_04_600" localSheetId="17">#REF!</definedName>
    <definedName name="F_04_600" localSheetId="18">#REF!</definedName>
    <definedName name="F_04_600" localSheetId="20">#REF!</definedName>
    <definedName name="F_04_600" localSheetId="21">#REF!</definedName>
    <definedName name="F_04_600" localSheetId="7">#REF!</definedName>
    <definedName name="F_04_600" localSheetId="3">#REF!</definedName>
    <definedName name="F_04_600" localSheetId="11">#REF!</definedName>
    <definedName name="F_04_600">#REF!</definedName>
    <definedName name="F_04_630" localSheetId="13">#REF!</definedName>
    <definedName name="F_04_630" localSheetId="14">#REF!</definedName>
    <definedName name="F_04_630" localSheetId="15">#REF!</definedName>
    <definedName name="F_04_630" localSheetId="16">#REF!</definedName>
    <definedName name="F_04_630" localSheetId="17">#REF!</definedName>
    <definedName name="F_04_630" localSheetId="18">#REF!</definedName>
    <definedName name="F_04_630" localSheetId="20">#REF!</definedName>
    <definedName name="F_04_630" localSheetId="21">#REF!</definedName>
    <definedName name="F_04_630" localSheetId="7">#REF!</definedName>
    <definedName name="F_04_630" localSheetId="3">#REF!</definedName>
    <definedName name="F_04_630" localSheetId="11">#REF!</definedName>
    <definedName name="F_04_630">#REF!</definedName>
    <definedName name="F_04_660" localSheetId="13">#REF!</definedName>
    <definedName name="F_04_660" localSheetId="14">#REF!</definedName>
    <definedName name="F_04_660" localSheetId="15">#REF!</definedName>
    <definedName name="F_04_660" localSheetId="16">#REF!</definedName>
    <definedName name="F_04_660" localSheetId="17">#REF!</definedName>
    <definedName name="F_04_660" localSheetId="18">#REF!</definedName>
    <definedName name="F_04_660" localSheetId="20">#REF!</definedName>
    <definedName name="F_04_660" localSheetId="21">#REF!</definedName>
    <definedName name="F_04_660" localSheetId="7">#REF!</definedName>
    <definedName name="F_04_660" localSheetId="3">#REF!</definedName>
    <definedName name="F_04_660" localSheetId="11">#REF!</definedName>
    <definedName name="F_04_660">#REF!</definedName>
    <definedName name="F_04_690" localSheetId="13">#REF!</definedName>
    <definedName name="F_04_690" localSheetId="14">#REF!</definedName>
    <definedName name="F_04_690" localSheetId="15">#REF!</definedName>
    <definedName name="F_04_690" localSheetId="16">#REF!</definedName>
    <definedName name="F_04_690" localSheetId="17">#REF!</definedName>
    <definedName name="F_04_690" localSheetId="18">#REF!</definedName>
    <definedName name="F_04_690" localSheetId="20">#REF!</definedName>
    <definedName name="F_04_690" localSheetId="21">#REF!</definedName>
    <definedName name="F_04_690" localSheetId="7">#REF!</definedName>
    <definedName name="F_04_690" localSheetId="3">#REF!</definedName>
    <definedName name="F_04_690" localSheetId="11">#REF!</definedName>
    <definedName name="F_04_690">#REF!</definedName>
    <definedName name="F_04_720" localSheetId="13">#REF!</definedName>
    <definedName name="F_04_720" localSheetId="14">#REF!</definedName>
    <definedName name="F_04_720" localSheetId="15">#REF!</definedName>
    <definedName name="F_04_720" localSheetId="16">#REF!</definedName>
    <definedName name="F_04_720" localSheetId="17">#REF!</definedName>
    <definedName name="F_04_720" localSheetId="18">#REF!</definedName>
    <definedName name="F_04_720" localSheetId="20">#REF!</definedName>
    <definedName name="F_04_720" localSheetId="21">#REF!</definedName>
    <definedName name="F_04_720" localSheetId="7">#REF!</definedName>
    <definedName name="F_04_720" localSheetId="3">#REF!</definedName>
    <definedName name="F_04_720" localSheetId="11">#REF!</definedName>
    <definedName name="F_04_720">#REF!</definedName>
    <definedName name="F_04_90" localSheetId="13">#REF!</definedName>
    <definedName name="F_04_90" localSheetId="14">#REF!</definedName>
    <definedName name="F_04_90" localSheetId="15">#REF!</definedName>
    <definedName name="F_04_90" localSheetId="16">#REF!</definedName>
    <definedName name="F_04_90" localSheetId="17">#REF!</definedName>
    <definedName name="F_04_90" localSheetId="18">#REF!</definedName>
    <definedName name="F_04_90" localSheetId="20">#REF!</definedName>
    <definedName name="F_04_90" localSheetId="21">#REF!</definedName>
    <definedName name="F_04_90" localSheetId="7">#REF!</definedName>
    <definedName name="F_04_90" localSheetId="3">#REF!</definedName>
    <definedName name="F_04_90" localSheetId="11">#REF!</definedName>
    <definedName name="F_04_90">#REF!</definedName>
    <definedName name="F_05_120" localSheetId="13">#REF!</definedName>
    <definedName name="F_05_120" localSheetId="14">#REF!</definedName>
    <definedName name="F_05_120" localSheetId="15">#REF!</definedName>
    <definedName name="F_05_120" localSheetId="16">#REF!</definedName>
    <definedName name="F_05_120" localSheetId="17">#REF!</definedName>
    <definedName name="F_05_120" localSheetId="18">#REF!</definedName>
    <definedName name="F_05_120" localSheetId="20">#REF!</definedName>
    <definedName name="F_05_120" localSheetId="21">#REF!</definedName>
    <definedName name="F_05_120" localSheetId="7">#REF!</definedName>
    <definedName name="F_05_120" localSheetId="3">#REF!</definedName>
    <definedName name="F_05_120" localSheetId="11">#REF!</definedName>
    <definedName name="F_05_120">#REF!</definedName>
    <definedName name="F_05_150" localSheetId="13">#REF!</definedName>
    <definedName name="F_05_150" localSheetId="14">#REF!</definedName>
    <definedName name="F_05_150" localSheetId="15">#REF!</definedName>
    <definedName name="F_05_150" localSheetId="16">#REF!</definedName>
    <definedName name="F_05_150" localSheetId="17">#REF!</definedName>
    <definedName name="F_05_150" localSheetId="18">#REF!</definedName>
    <definedName name="F_05_150" localSheetId="20">#REF!</definedName>
    <definedName name="F_05_150" localSheetId="21">#REF!</definedName>
    <definedName name="F_05_150" localSheetId="7">#REF!</definedName>
    <definedName name="F_05_150" localSheetId="3">#REF!</definedName>
    <definedName name="F_05_150" localSheetId="11">#REF!</definedName>
    <definedName name="F_05_150">#REF!</definedName>
    <definedName name="F_05_180" localSheetId="13">#REF!</definedName>
    <definedName name="F_05_180" localSheetId="14">#REF!</definedName>
    <definedName name="F_05_180" localSheetId="15">#REF!</definedName>
    <definedName name="F_05_180" localSheetId="16">#REF!</definedName>
    <definedName name="F_05_180" localSheetId="17">#REF!</definedName>
    <definedName name="F_05_180" localSheetId="18">#REF!</definedName>
    <definedName name="F_05_180" localSheetId="20">#REF!</definedName>
    <definedName name="F_05_180" localSheetId="21">#REF!</definedName>
    <definedName name="F_05_180" localSheetId="7">#REF!</definedName>
    <definedName name="F_05_180" localSheetId="3">#REF!</definedName>
    <definedName name="F_05_180" localSheetId="11">#REF!</definedName>
    <definedName name="F_05_180">#REF!</definedName>
    <definedName name="F_05_210" localSheetId="13">#REF!</definedName>
    <definedName name="F_05_210" localSheetId="14">#REF!</definedName>
    <definedName name="F_05_210" localSheetId="15">#REF!</definedName>
    <definedName name="F_05_210" localSheetId="16">#REF!</definedName>
    <definedName name="F_05_210" localSheetId="17">#REF!</definedName>
    <definedName name="F_05_210" localSheetId="18">#REF!</definedName>
    <definedName name="F_05_210" localSheetId="20">#REF!</definedName>
    <definedName name="F_05_210" localSheetId="21">#REF!</definedName>
    <definedName name="F_05_210" localSheetId="7">#REF!</definedName>
    <definedName name="F_05_210" localSheetId="3">#REF!</definedName>
    <definedName name="F_05_210" localSheetId="11">#REF!</definedName>
    <definedName name="F_05_210">#REF!</definedName>
    <definedName name="F_05_240" localSheetId="13">#REF!</definedName>
    <definedName name="F_05_240" localSheetId="14">#REF!</definedName>
    <definedName name="F_05_240" localSheetId="15">#REF!</definedName>
    <definedName name="F_05_240" localSheetId="16">#REF!</definedName>
    <definedName name="F_05_240" localSheetId="17">#REF!</definedName>
    <definedName name="F_05_240" localSheetId="18">#REF!</definedName>
    <definedName name="F_05_240" localSheetId="20">#REF!</definedName>
    <definedName name="F_05_240" localSheetId="21">#REF!</definedName>
    <definedName name="F_05_240" localSheetId="7">#REF!</definedName>
    <definedName name="F_05_240" localSheetId="3">#REF!</definedName>
    <definedName name="F_05_240" localSheetId="11">#REF!</definedName>
    <definedName name="F_05_240">#REF!</definedName>
    <definedName name="F_05_270" localSheetId="13">#REF!</definedName>
    <definedName name="F_05_270" localSheetId="14">#REF!</definedName>
    <definedName name="F_05_270" localSheetId="15">#REF!</definedName>
    <definedName name="F_05_270" localSheetId="16">#REF!</definedName>
    <definedName name="F_05_270" localSheetId="17">#REF!</definedName>
    <definedName name="F_05_270" localSheetId="18">#REF!</definedName>
    <definedName name="F_05_270" localSheetId="20">#REF!</definedName>
    <definedName name="F_05_270" localSheetId="21">#REF!</definedName>
    <definedName name="F_05_270" localSheetId="7">#REF!</definedName>
    <definedName name="F_05_270" localSheetId="3">#REF!</definedName>
    <definedName name="F_05_270" localSheetId="11">#REF!</definedName>
    <definedName name="F_05_270">#REF!</definedName>
    <definedName name="F_05_30" localSheetId="13">#REF!</definedName>
    <definedName name="F_05_30" localSheetId="14">#REF!</definedName>
    <definedName name="F_05_30" localSheetId="15">#REF!</definedName>
    <definedName name="F_05_30" localSheetId="16">#REF!</definedName>
    <definedName name="F_05_30" localSheetId="17">#REF!</definedName>
    <definedName name="F_05_30" localSheetId="18">#REF!</definedName>
    <definedName name="F_05_30" localSheetId="20">#REF!</definedName>
    <definedName name="F_05_30" localSheetId="21">#REF!</definedName>
    <definedName name="F_05_30" localSheetId="7">#REF!</definedName>
    <definedName name="F_05_30" localSheetId="3">#REF!</definedName>
    <definedName name="F_05_30" localSheetId="11">#REF!</definedName>
    <definedName name="F_05_30">#REF!</definedName>
    <definedName name="F_05_300" localSheetId="13">#REF!</definedName>
    <definedName name="F_05_300" localSheetId="14">#REF!</definedName>
    <definedName name="F_05_300" localSheetId="15">#REF!</definedName>
    <definedName name="F_05_300" localSheetId="16">#REF!</definedName>
    <definedName name="F_05_300" localSheetId="17">#REF!</definedName>
    <definedName name="F_05_300" localSheetId="18">#REF!</definedName>
    <definedName name="F_05_300" localSheetId="20">#REF!</definedName>
    <definedName name="F_05_300" localSheetId="21">#REF!</definedName>
    <definedName name="F_05_300" localSheetId="7">#REF!</definedName>
    <definedName name="F_05_300" localSheetId="3">#REF!</definedName>
    <definedName name="F_05_300" localSheetId="11">#REF!</definedName>
    <definedName name="F_05_300">#REF!</definedName>
    <definedName name="F_05_330" localSheetId="13">#REF!</definedName>
    <definedName name="F_05_330" localSheetId="14">#REF!</definedName>
    <definedName name="F_05_330" localSheetId="15">#REF!</definedName>
    <definedName name="F_05_330" localSheetId="16">#REF!</definedName>
    <definedName name="F_05_330" localSheetId="17">#REF!</definedName>
    <definedName name="F_05_330" localSheetId="18">#REF!</definedName>
    <definedName name="F_05_330" localSheetId="20">#REF!</definedName>
    <definedName name="F_05_330" localSheetId="21">#REF!</definedName>
    <definedName name="F_05_330" localSheetId="7">#REF!</definedName>
    <definedName name="F_05_330" localSheetId="3">#REF!</definedName>
    <definedName name="F_05_330" localSheetId="11">#REF!</definedName>
    <definedName name="F_05_330">#REF!</definedName>
    <definedName name="F_05_360" localSheetId="13">#REF!</definedName>
    <definedName name="F_05_360" localSheetId="14">#REF!</definedName>
    <definedName name="F_05_360" localSheetId="15">#REF!</definedName>
    <definedName name="F_05_360" localSheetId="16">#REF!</definedName>
    <definedName name="F_05_360" localSheetId="17">#REF!</definedName>
    <definedName name="F_05_360" localSheetId="18">#REF!</definedName>
    <definedName name="F_05_360" localSheetId="20">#REF!</definedName>
    <definedName name="F_05_360" localSheetId="21">#REF!</definedName>
    <definedName name="F_05_360" localSheetId="7">#REF!</definedName>
    <definedName name="F_05_360" localSheetId="3">#REF!</definedName>
    <definedName name="F_05_360" localSheetId="11">#REF!</definedName>
    <definedName name="F_05_360">#REF!</definedName>
    <definedName name="F_05_390" localSheetId="13">#REF!</definedName>
    <definedName name="F_05_390" localSheetId="14">#REF!</definedName>
    <definedName name="F_05_390" localSheetId="15">#REF!</definedName>
    <definedName name="F_05_390" localSheetId="16">#REF!</definedName>
    <definedName name="F_05_390" localSheetId="17">#REF!</definedName>
    <definedName name="F_05_390" localSheetId="18">#REF!</definedName>
    <definedName name="F_05_390" localSheetId="20">#REF!</definedName>
    <definedName name="F_05_390" localSheetId="21">#REF!</definedName>
    <definedName name="F_05_390" localSheetId="7">#REF!</definedName>
    <definedName name="F_05_390" localSheetId="3">#REF!</definedName>
    <definedName name="F_05_390" localSheetId="11">#REF!</definedName>
    <definedName name="F_05_390">#REF!</definedName>
    <definedName name="F_05_420" localSheetId="13">#REF!</definedName>
    <definedName name="F_05_420" localSheetId="14">#REF!</definedName>
    <definedName name="F_05_420" localSheetId="15">#REF!</definedName>
    <definedName name="F_05_420" localSheetId="16">#REF!</definedName>
    <definedName name="F_05_420" localSheetId="17">#REF!</definedName>
    <definedName name="F_05_420" localSheetId="18">#REF!</definedName>
    <definedName name="F_05_420" localSheetId="20">#REF!</definedName>
    <definedName name="F_05_420" localSheetId="21">#REF!</definedName>
    <definedName name="F_05_420" localSheetId="7">#REF!</definedName>
    <definedName name="F_05_420" localSheetId="3">#REF!</definedName>
    <definedName name="F_05_420" localSheetId="11">#REF!</definedName>
    <definedName name="F_05_420">#REF!</definedName>
    <definedName name="F_05_450" localSheetId="13">#REF!</definedName>
    <definedName name="F_05_450" localSheetId="14">#REF!</definedName>
    <definedName name="F_05_450" localSheetId="15">#REF!</definedName>
    <definedName name="F_05_450" localSheetId="16">#REF!</definedName>
    <definedName name="F_05_450" localSheetId="17">#REF!</definedName>
    <definedName name="F_05_450" localSheetId="18">#REF!</definedName>
    <definedName name="F_05_450" localSheetId="20">#REF!</definedName>
    <definedName name="F_05_450" localSheetId="21">#REF!</definedName>
    <definedName name="F_05_450" localSheetId="7">#REF!</definedName>
    <definedName name="F_05_450" localSheetId="3">#REF!</definedName>
    <definedName name="F_05_450" localSheetId="11">#REF!</definedName>
    <definedName name="F_05_450">#REF!</definedName>
    <definedName name="F_05_480" localSheetId="13">#REF!</definedName>
    <definedName name="F_05_480" localSheetId="14">#REF!</definedName>
    <definedName name="F_05_480" localSheetId="15">#REF!</definedName>
    <definedName name="F_05_480" localSheetId="16">#REF!</definedName>
    <definedName name="F_05_480" localSheetId="17">#REF!</definedName>
    <definedName name="F_05_480" localSheetId="18">#REF!</definedName>
    <definedName name="F_05_480" localSheetId="20">#REF!</definedName>
    <definedName name="F_05_480" localSheetId="21">#REF!</definedName>
    <definedName name="F_05_480" localSheetId="7">#REF!</definedName>
    <definedName name="F_05_480" localSheetId="3">#REF!</definedName>
    <definedName name="F_05_480" localSheetId="11">#REF!</definedName>
    <definedName name="F_05_480">#REF!</definedName>
    <definedName name="F_05_510" localSheetId="13">#REF!</definedName>
    <definedName name="F_05_510" localSheetId="14">#REF!</definedName>
    <definedName name="F_05_510" localSheetId="15">#REF!</definedName>
    <definedName name="F_05_510" localSheetId="16">#REF!</definedName>
    <definedName name="F_05_510" localSheetId="17">#REF!</definedName>
    <definedName name="F_05_510" localSheetId="18">#REF!</definedName>
    <definedName name="F_05_510" localSheetId="20">#REF!</definedName>
    <definedName name="F_05_510" localSheetId="21">#REF!</definedName>
    <definedName name="F_05_510" localSheetId="7">#REF!</definedName>
    <definedName name="F_05_510" localSheetId="3">#REF!</definedName>
    <definedName name="F_05_510" localSheetId="11">#REF!</definedName>
    <definedName name="F_05_510">#REF!</definedName>
    <definedName name="F_05_540" localSheetId="13">#REF!</definedName>
    <definedName name="F_05_540" localSheetId="14">#REF!</definedName>
    <definedName name="F_05_540" localSheetId="15">#REF!</definedName>
    <definedName name="F_05_540" localSheetId="16">#REF!</definedName>
    <definedName name="F_05_540" localSheetId="17">#REF!</definedName>
    <definedName name="F_05_540" localSheetId="18">#REF!</definedName>
    <definedName name="F_05_540" localSheetId="20">#REF!</definedName>
    <definedName name="F_05_540" localSheetId="21">#REF!</definedName>
    <definedName name="F_05_540" localSheetId="7">#REF!</definedName>
    <definedName name="F_05_540" localSheetId="3">#REF!</definedName>
    <definedName name="F_05_540" localSheetId="11">#REF!</definedName>
    <definedName name="F_05_540">#REF!</definedName>
    <definedName name="F_05_570" localSheetId="13">#REF!</definedName>
    <definedName name="F_05_570" localSheetId="14">#REF!</definedName>
    <definedName name="F_05_570" localSheetId="15">#REF!</definedName>
    <definedName name="F_05_570" localSheetId="16">#REF!</definedName>
    <definedName name="F_05_570" localSheetId="17">#REF!</definedName>
    <definedName name="F_05_570" localSheetId="18">#REF!</definedName>
    <definedName name="F_05_570" localSheetId="20">#REF!</definedName>
    <definedName name="F_05_570" localSheetId="21">#REF!</definedName>
    <definedName name="F_05_570" localSheetId="7">#REF!</definedName>
    <definedName name="F_05_570" localSheetId="3">#REF!</definedName>
    <definedName name="F_05_570" localSheetId="11">#REF!</definedName>
    <definedName name="F_05_570">#REF!</definedName>
    <definedName name="F_05_60" localSheetId="13">#REF!</definedName>
    <definedName name="F_05_60" localSheetId="14">#REF!</definedName>
    <definedName name="F_05_60" localSheetId="15">#REF!</definedName>
    <definedName name="F_05_60" localSheetId="16">#REF!</definedName>
    <definedName name="F_05_60" localSheetId="17">#REF!</definedName>
    <definedName name="F_05_60" localSheetId="18">#REF!</definedName>
    <definedName name="F_05_60" localSheetId="20">#REF!</definedName>
    <definedName name="F_05_60" localSheetId="21">#REF!</definedName>
    <definedName name="F_05_60" localSheetId="7">#REF!</definedName>
    <definedName name="F_05_60" localSheetId="3">#REF!</definedName>
    <definedName name="F_05_60" localSheetId="11">#REF!</definedName>
    <definedName name="F_05_60">#REF!</definedName>
    <definedName name="F_05_600" localSheetId="13">#REF!</definedName>
    <definedName name="F_05_600" localSheetId="14">#REF!</definedName>
    <definedName name="F_05_600" localSheetId="15">#REF!</definedName>
    <definedName name="F_05_600" localSheetId="16">#REF!</definedName>
    <definedName name="F_05_600" localSheetId="17">#REF!</definedName>
    <definedName name="F_05_600" localSheetId="18">#REF!</definedName>
    <definedName name="F_05_600" localSheetId="20">#REF!</definedName>
    <definedName name="F_05_600" localSheetId="21">#REF!</definedName>
    <definedName name="F_05_600" localSheetId="7">#REF!</definedName>
    <definedName name="F_05_600" localSheetId="3">#REF!</definedName>
    <definedName name="F_05_600" localSheetId="11">#REF!</definedName>
    <definedName name="F_05_600">#REF!</definedName>
    <definedName name="F_05_630" localSheetId="13">#REF!</definedName>
    <definedName name="F_05_630" localSheetId="14">#REF!</definedName>
    <definedName name="F_05_630" localSheetId="15">#REF!</definedName>
    <definedName name="F_05_630" localSheetId="16">#REF!</definedName>
    <definedName name="F_05_630" localSheetId="17">#REF!</definedName>
    <definedName name="F_05_630" localSheetId="18">#REF!</definedName>
    <definedName name="F_05_630" localSheetId="20">#REF!</definedName>
    <definedName name="F_05_630" localSheetId="21">#REF!</definedName>
    <definedName name="F_05_630" localSheetId="7">#REF!</definedName>
    <definedName name="F_05_630" localSheetId="3">#REF!</definedName>
    <definedName name="F_05_630" localSheetId="11">#REF!</definedName>
    <definedName name="F_05_630">#REF!</definedName>
    <definedName name="F_05_660" localSheetId="13">#REF!</definedName>
    <definedName name="F_05_660" localSheetId="14">#REF!</definedName>
    <definedName name="F_05_660" localSheetId="15">#REF!</definedName>
    <definedName name="F_05_660" localSheetId="16">#REF!</definedName>
    <definedName name="F_05_660" localSheetId="17">#REF!</definedName>
    <definedName name="F_05_660" localSheetId="18">#REF!</definedName>
    <definedName name="F_05_660" localSheetId="20">#REF!</definedName>
    <definedName name="F_05_660" localSheetId="21">#REF!</definedName>
    <definedName name="F_05_660" localSheetId="7">#REF!</definedName>
    <definedName name="F_05_660" localSheetId="3">#REF!</definedName>
    <definedName name="F_05_660" localSheetId="11">#REF!</definedName>
    <definedName name="F_05_660">#REF!</definedName>
    <definedName name="F_05_690" localSheetId="13">#REF!</definedName>
    <definedName name="F_05_690" localSheetId="14">#REF!</definedName>
    <definedName name="F_05_690" localSheetId="15">#REF!</definedName>
    <definedName name="F_05_690" localSheetId="16">#REF!</definedName>
    <definedName name="F_05_690" localSheetId="17">#REF!</definedName>
    <definedName name="F_05_690" localSheetId="18">#REF!</definedName>
    <definedName name="F_05_690" localSheetId="20">#REF!</definedName>
    <definedName name="F_05_690" localSheetId="21">#REF!</definedName>
    <definedName name="F_05_690" localSheetId="7">#REF!</definedName>
    <definedName name="F_05_690" localSheetId="3">#REF!</definedName>
    <definedName name="F_05_690" localSheetId="11">#REF!</definedName>
    <definedName name="F_05_690">#REF!</definedName>
    <definedName name="F_05_720" localSheetId="13">#REF!</definedName>
    <definedName name="F_05_720" localSheetId="14">#REF!</definedName>
    <definedName name="F_05_720" localSheetId="15">#REF!</definedName>
    <definedName name="F_05_720" localSheetId="16">#REF!</definedName>
    <definedName name="F_05_720" localSheetId="17">#REF!</definedName>
    <definedName name="F_05_720" localSheetId="18">#REF!</definedName>
    <definedName name="F_05_720" localSheetId="20">#REF!</definedName>
    <definedName name="F_05_720" localSheetId="21">#REF!</definedName>
    <definedName name="F_05_720" localSheetId="7">#REF!</definedName>
    <definedName name="F_05_720" localSheetId="3">#REF!</definedName>
    <definedName name="F_05_720" localSheetId="11">#REF!</definedName>
    <definedName name="F_05_720">#REF!</definedName>
    <definedName name="F_05_90" localSheetId="13">#REF!</definedName>
    <definedName name="F_05_90" localSheetId="14">#REF!</definedName>
    <definedName name="F_05_90" localSheetId="15">#REF!</definedName>
    <definedName name="F_05_90" localSheetId="16">#REF!</definedName>
    <definedName name="F_05_90" localSheetId="17">#REF!</definedName>
    <definedName name="F_05_90" localSheetId="18">#REF!</definedName>
    <definedName name="F_05_90" localSheetId="20">#REF!</definedName>
    <definedName name="F_05_90" localSheetId="21">#REF!</definedName>
    <definedName name="F_05_90" localSheetId="7">#REF!</definedName>
    <definedName name="F_05_90" localSheetId="3">#REF!</definedName>
    <definedName name="F_05_90" localSheetId="11">#REF!</definedName>
    <definedName name="F_05_90">#REF!</definedName>
    <definedName name="F_06_120" localSheetId="13">#REF!</definedName>
    <definedName name="F_06_120" localSheetId="14">#REF!</definedName>
    <definedName name="F_06_120" localSheetId="15">#REF!</definedName>
    <definedName name="F_06_120" localSheetId="16">#REF!</definedName>
    <definedName name="F_06_120" localSheetId="17">#REF!</definedName>
    <definedName name="F_06_120" localSheetId="18">#REF!</definedName>
    <definedName name="F_06_120" localSheetId="20">#REF!</definedName>
    <definedName name="F_06_120" localSheetId="21">#REF!</definedName>
    <definedName name="F_06_120" localSheetId="7">#REF!</definedName>
    <definedName name="F_06_120" localSheetId="3">#REF!</definedName>
    <definedName name="F_06_120" localSheetId="11">#REF!</definedName>
    <definedName name="F_06_120">#REF!</definedName>
    <definedName name="F_06_150" localSheetId="13">#REF!</definedName>
    <definedName name="F_06_150" localSheetId="14">#REF!</definedName>
    <definedName name="F_06_150" localSheetId="15">#REF!</definedName>
    <definedName name="F_06_150" localSheetId="16">#REF!</definedName>
    <definedName name="F_06_150" localSheetId="17">#REF!</definedName>
    <definedName name="F_06_150" localSheetId="18">#REF!</definedName>
    <definedName name="F_06_150" localSheetId="20">#REF!</definedName>
    <definedName name="F_06_150" localSheetId="21">#REF!</definedName>
    <definedName name="F_06_150" localSheetId="7">#REF!</definedName>
    <definedName name="F_06_150" localSheetId="3">#REF!</definedName>
    <definedName name="F_06_150" localSheetId="11">#REF!</definedName>
    <definedName name="F_06_150">#REF!</definedName>
    <definedName name="F_06_180" localSheetId="13">#REF!</definedName>
    <definedName name="F_06_180" localSheetId="14">#REF!</definedName>
    <definedName name="F_06_180" localSheetId="15">#REF!</definedName>
    <definedName name="F_06_180" localSheetId="16">#REF!</definedName>
    <definedName name="F_06_180" localSheetId="17">#REF!</definedName>
    <definedName name="F_06_180" localSheetId="18">#REF!</definedName>
    <definedName name="F_06_180" localSheetId="20">#REF!</definedName>
    <definedName name="F_06_180" localSheetId="21">#REF!</definedName>
    <definedName name="F_06_180" localSheetId="7">#REF!</definedName>
    <definedName name="F_06_180" localSheetId="3">#REF!</definedName>
    <definedName name="F_06_180" localSheetId="11">#REF!</definedName>
    <definedName name="F_06_180">#REF!</definedName>
    <definedName name="F_06_210" localSheetId="13">#REF!</definedName>
    <definedName name="F_06_210" localSheetId="14">#REF!</definedName>
    <definedName name="F_06_210" localSheetId="15">#REF!</definedName>
    <definedName name="F_06_210" localSheetId="16">#REF!</definedName>
    <definedName name="F_06_210" localSheetId="17">#REF!</definedName>
    <definedName name="F_06_210" localSheetId="18">#REF!</definedName>
    <definedName name="F_06_210" localSheetId="20">#REF!</definedName>
    <definedName name="F_06_210" localSheetId="21">#REF!</definedName>
    <definedName name="F_06_210" localSheetId="7">#REF!</definedName>
    <definedName name="F_06_210" localSheetId="3">#REF!</definedName>
    <definedName name="F_06_210" localSheetId="11">#REF!</definedName>
    <definedName name="F_06_210">#REF!</definedName>
    <definedName name="F_06_240" localSheetId="13">#REF!</definedName>
    <definedName name="F_06_240" localSheetId="14">#REF!</definedName>
    <definedName name="F_06_240" localSheetId="15">#REF!</definedName>
    <definedName name="F_06_240" localSheetId="16">#REF!</definedName>
    <definedName name="F_06_240" localSheetId="17">#REF!</definedName>
    <definedName name="F_06_240" localSheetId="18">#REF!</definedName>
    <definedName name="F_06_240" localSheetId="20">#REF!</definedName>
    <definedName name="F_06_240" localSheetId="21">#REF!</definedName>
    <definedName name="F_06_240" localSheetId="7">#REF!</definedName>
    <definedName name="F_06_240" localSheetId="3">#REF!</definedName>
    <definedName name="F_06_240" localSheetId="11">#REF!</definedName>
    <definedName name="F_06_240">#REF!</definedName>
    <definedName name="F_06_270" localSheetId="13">#REF!</definedName>
    <definedName name="F_06_270" localSheetId="14">#REF!</definedName>
    <definedName name="F_06_270" localSheetId="15">#REF!</definedName>
    <definedName name="F_06_270" localSheetId="16">#REF!</definedName>
    <definedName name="F_06_270" localSheetId="17">#REF!</definedName>
    <definedName name="F_06_270" localSheetId="18">#REF!</definedName>
    <definedName name="F_06_270" localSheetId="20">#REF!</definedName>
    <definedName name="F_06_270" localSheetId="21">#REF!</definedName>
    <definedName name="F_06_270" localSheetId="7">#REF!</definedName>
    <definedName name="F_06_270" localSheetId="3">#REF!</definedName>
    <definedName name="F_06_270" localSheetId="11">#REF!</definedName>
    <definedName name="F_06_270">#REF!</definedName>
    <definedName name="F_06_30" localSheetId="13">#REF!</definedName>
    <definedName name="F_06_30" localSheetId="14">#REF!</definedName>
    <definedName name="F_06_30" localSheetId="15">#REF!</definedName>
    <definedName name="F_06_30" localSheetId="16">#REF!</definedName>
    <definedName name="F_06_30" localSheetId="17">#REF!</definedName>
    <definedName name="F_06_30" localSheetId="18">#REF!</definedName>
    <definedName name="F_06_30" localSheetId="20">#REF!</definedName>
    <definedName name="F_06_30" localSheetId="21">#REF!</definedName>
    <definedName name="F_06_30" localSheetId="7">#REF!</definedName>
    <definedName name="F_06_30" localSheetId="3">#REF!</definedName>
    <definedName name="F_06_30" localSheetId="11">#REF!</definedName>
    <definedName name="F_06_30">#REF!</definedName>
    <definedName name="F_06_300" localSheetId="13">#REF!</definedName>
    <definedName name="F_06_300" localSheetId="14">#REF!</definedName>
    <definedName name="F_06_300" localSheetId="15">#REF!</definedName>
    <definedName name="F_06_300" localSheetId="16">#REF!</definedName>
    <definedName name="F_06_300" localSheetId="17">#REF!</definedName>
    <definedName name="F_06_300" localSheetId="18">#REF!</definedName>
    <definedName name="F_06_300" localSheetId="20">#REF!</definedName>
    <definedName name="F_06_300" localSheetId="21">#REF!</definedName>
    <definedName name="F_06_300" localSheetId="7">#REF!</definedName>
    <definedName name="F_06_300" localSheetId="3">#REF!</definedName>
    <definedName name="F_06_300" localSheetId="11">#REF!</definedName>
    <definedName name="F_06_300">#REF!</definedName>
    <definedName name="F_06_330" localSheetId="13">#REF!</definedName>
    <definedName name="F_06_330" localSheetId="14">#REF!</definedName>
    <definedName name="F_06_330" localSheetId="15">#REF!</definedName>
    <definedName name="F_06_330" localSheetId="16">#REF!</definedName>
    <definedName name="F_06_330" localSheetId="17">#REF!</definedName>
    <definedName name="F_06_330" localSheetId="18">#REF!</definedName>
    <definedName name="F_06_330" localSheetId="20">#REF!</definedName>
    <definedName name="F_06_330" localSheetId="21">#REF!</definedName>
    <definedName name="F_06_330" localSheetId="7">#REF!</definedName>
    <definedName name="F_06_330" localSheetId="3">#REF!</definedName>
    <definedName name="F_06_330" localSheetId="11">#REF!</definedName>
    <definedName name="F_06_330">#REF!</definedName>
    <definedName name="F_06_360" localSheetId="13">#REF!</definedName>
    <definedName name="F_06_360" localSheetId="14">#REF!</definedName>
    <definedName name="F_06_360" localSheetId="15">#REF!</definedName>
    <definedName name="F_06_360" localSheetId="16">#REF!</definedName>
    <definedName name="F_06_360" localSheetId="17">#REF!</definedName>
    <definedName name="F_06_360" localSheetId="18">#REF!</definedName>
    <definedName name="F_06_360" localSheetId="20">#REF!</definedName>
    <definedName name="F_06_360" localSheetId="21">#REF!</definedName>
    <definedName name="F_06_360" localSheetId="7">#REF!</definedName>
    <definedName name="F_06_360" localSheetId="3">#REF!</definedName>
    <definedName name="F_06_360" localSheetId="11">#REF!</definedName>
    <definedName name="F_06_360">#REF!</definedName>
    <definedName name="F_06_390" localSheetId="13">#REF!</definedName>
    <definedName name="F_06_390" localSheetId="14">#REF!</definedName>
    <definedName name="F_06_390" localSheetId="15">#REF!</definedName>
    <definedName name="F_06_390" localSheetId="16">#REF!</definedName>
    <definedName name="F_06_390" localSheetId="17">#REF!</definedName>
    <definedName name="F_06_390" localSheetId="18">#REF!</definedName>
    <definedName name="F_06_390" localSheetId="20">#REF!</definedName>
    <definedName name="F_06_390" localSheetId="21">#REF!</definedName>
    <definedName name="F_06_390" localSheetId="7">#REF!</definedName>
    <definedName name="F_06_390" localSheetId="3">#REF!</definedName>
    <definedName name="F_06_390" localSheetId="11">#REF!</definedName>
    <definedName name="F_06_390">#REF!</definedName>
    <definedName name="F_06_420" localSheetId="13">#REF!</definedName>
    <definedName name="F_06_420" localSheetId="14">#REF!</definedName>
    <definedName name="F_06_420" localSheetId="15">#REF!</definedName>
    <definedName name="F_06_420" localSheetId="16">#REF!</definedName>
    <definedName name="F_06_420" localSheetId="17">#REF!</definedName>
    <definedName name="F_06_420" localSheetId="18">#REF!</definedName>
    <definedName name="F_06_420" localSheetId="20">#REF!</definedName>
    <definedName name="F_06_420" localSheetId="21">#REF!</definedName>
    <definedName name="F_06_420" localSheetId="7">#REF!</definedName>
    <definedName name="F_06_420" localSheetId="3">#REF!</definedName>
    <definedName name="F_06_420" localSheetId="11">#REF!</definedName>
    <definedName name="F_06_420">#REF!</definedName>
    <definedName name="F_06_450" localSheetId="13">#REF!</definedName>
    <definedName name="F_06_450" localSheetId="14">#REF!</definedName>
    <definedName name="F_06_450" localSheetId="15">#REF!</definedName>
    <definedName name="F_06_450" localSheetId="16">#REF!</definedName>
    <definedName name="F_06_450" localSheetId="17">#REF!</definedName>
    <definedName name="F_06_450" localSheetId="18">#REF!</definedName>
    <definedName name="F_06_450" localSheetId="20">#REF!</definedName>
    <definedName name="F_06_450" localSheetId="21">#REF!</definedName>
    <definedName name="F_06_450" localSheetId="7">#REF!</definedName>
    <definedName name="F_06_450" localSheetId="3">#REF!</definedName>
    <definedName name="F_06_450" localSheetId="11">#REF!</definedName>
    <definedName name="F_06_450">#REF!</definedName>
    <definedName name="F_06_480" localSheetId="13">#REF!</definedName>
    <definedName name="F_06_480" localSheetId="14">#REF!</definedName>
    <definedName name="F_06_480" localSheetId="15">#REF!</definedName>
    <definedName name="F_06_480" localSheetId="16">#REF!</definedName>
    <definedName name="F_06_480" localSheetId="17">#REF!</definedName>
    <definedName name="F_06_480" localSheetId="18">#REF!</definedName>
    <definedName name="F_06_480" localSheetId="20">#REF!</definedName>
    <definedName name="F_06_480" localSheetId="21">#REF!</definedName>
    <definedName name="F_06_480" localSheetId="7">#REF!</definedName>
    <definedName name="F_06_480" localSheetId="3">#REF!</definedName>
    <definedName name="F_06_480" localSheetId="11">#REF!</definedName>
    <definedName name="F_06_480">#REF!</definedName>
    <definedName name="F_06_510" localSheetId="13">#REF!</definedName>
    <definedName name="F_06_510" localSheetId="14">#REF!</definedName>
    <definedName name="F_06_510" localSheetId="15">#REF!</definedName>
    <definedName name="F_06_510" localSheetId="16">#REF!</definedName>
    <definedName name="F_06_510" localSheetId="17">#REF!</definedName>
    <definedName name="F_06_510" localSheetId="18">#REF!</definedName>
    <definedName name="F_06_510" localSheetId="20">#REF!</definedName>
    <definedName name="F_06_510" localSheetId="21">#REF!</definedName>
    <definedName name="F_06_510" localSheetId="7">#REF!</definedName>
    <definedName name="F_06_510" localSheetId="3">#REF!</definedName>
    <definedName name="F_06_510" localSheetId="11">#REF!</definedName>
    <definedName name="F_06_510">#REF!</definedName>
    <definedName name="F_06_540" localSheetId="13">#REF!</definedName>
    <definedName name="F_06_540" localSheetId="14">#REF!</definedName>
    <definedName name="F_06_540" localSheetId="15">#REF!</definedName>
    <definedName name="F_06_540" localSheetId="16">#REF!</definedName>
    <definedName name="F_06_540" localSheetId="17">#REF!</definedName>
    <definedName name="F_06_540" localSheetId="18">#REF!</definedName>
    <definedName name="F_06_540" localSheetId="20">#REF!</definedName>
    <definedName name="F_06_540" localSheetId="21">#REF!</definedName>
    <definedName name="F_06_540" localSheetId="7">#REF!</definedName>
    <definedName name="F_06_540" localSheetId="3">#REF!</definedName>
    <definedName name="F_06_540" localSheetId="11">#REF!</definedName>
    <definedName name="F_06_540">#REF!</definedName>
    <definedName name="F_06_570" localSheetId="13">#REF!</definedName>
    <definedName name="F_06_570" localSheetId="14">#REF!</definedName>
    <definedName name="F_06_570" localSheetId="15">#REF!</definedName>
    <definedName name="F_06_570" localSheetId="16">#REF!</definedName>
    <definedName name="F_06_570" localSheetId="17">#REF!</definedName>
    <definedName name="F_06_570" localSheetId="18">#REF!</definedName>
    <definedName name="F_06_570" localSheetId="20">#REF!</definedName>
    <definedName name="F_06_570" localSheetId="21">#REF!</definedName>
    <definedName name="F_06_570" localSheetId="7">#REF!</definedName>
    <definedName name="F_06_570" localSheetId="3">#REF!</definedName>
    <definedName name="F_06_570" localSheetId="11">#REF!</definedName>
    <definedName name="F_06_570">#REF!</definedName>
    <definedName name="F_06_60" localSheetId="13">#REF!</definedName>
    <definedName name="F_06_60" localSheetId="14">#REF!</definedName>
    <definedName name="F_06_60" localSheetId="15">#REF!</definedName>
    <definedName name="F_06_60" localSheetId="16">#REF!</definedName>
    <definedName name="F_06_60" localSheetId="17">#REF!</definedName>
    <definedName name="F_06_60" localSheetId="18">#REF!</definedName>
    <definedName name="F_06_60" localSheetId="20">#REF!</definedName>
    <definedName name="F_06_60" localSheetId="21">#REF!</definedName>
    <definedName name="F_06_60" localSheetId="7">#REF!</definedName>
    <definedName name="F_06_60" localSheetId="3">#REF!</definedName>
    <definedName name="F_06_60" localSheetId="11">#REF!</definedName>
    <definedName name="F_06_60">#REF!</definedName>
    <definedName name="F_06_600" localSheetId="13">#REF!</definedName>
    <definedName name="F_06_600" localSheetId="14">#REF!</definedName>
    <definedName name="F_06_600" localSheetId="15">#REF!</definedName>
    <definedName name="F_06_600" localSheetId="16">#REF!</definedName>
    <definedName name="F_06_600" localSheetId="17">#REF!</definedName>
    <definedName name="F_06_600" localSheetId="18">#REF!</definedName>
    <definedName name="F_06_600" localSheetId="20">#REF!</definedName>
    <definedName name="F_06_600" localSheetId="21">#REF!</definedName>
    <definedName name="F_06_600" localSheetId="7">#REF!</definedName>
    <definedName name="F_06_600" localSheetId="3">#REF!</definedName>
    <definedName name="F_06_600" localSheetId="11">#REF!</definedName>
    <definedName name="F_06_600">#REF!</definedName>
    <definedName name="F_06_630" localSheetId="13">#REF!</definedName>
    <definedName name="F_06_630" localSheetId="14">#REF!</definedName>
    <definedName name="F_06_630" localSheetId="15">#REF!</definedName>
    <definedName name="F_06_630" localSheetId="16">#REF!</definedName>
    <definedName name="F_06_630" localSheetId="17">#REF!</definedName>
    <definedName name="F_06_630" localSheetId="18">#REF!</definedName>
    <definedName name="F_06_630" localSheetId="20">#REF!</definedName>
    <definedName name="F_06_630" localSheetId="21">#REF!</definedName>
    <definedName name="F_06_630" localSheetId="7">#REF!</definedName>
    <definedName name="F_06_630" localSheetId="3">#REF!</definedName>
    <definedName name="F_06_630" localSheetId="11">#REF!</definedName>
    <definedName name="F_06_630">#REF!</definedName>
    <definedName name="F_06_660" localSheetId="13">#REF!</definedName>
    <definedName name="F_06_660" localSheetId="14">#REF!</definedName>
    <definedName name="F_06_660" localSheetId="15">#REF!</definedName>
    <definedName name="F_06_660" localSheetId="16">#REF!</definedName>
    <definedName name="F_06_660" localSheetId="17">#REF!</definedName>
    <definedName name="F_06_660" localSheetId="18">#REF!</definedName>
    <definedName name="F_06_660" localSheetId="20">#REF!</definedName>
    <definedName name="F_06_660" localSheetId="21">#REF!</definedName>
    <definedName name="F_06_660" localSheetId="7">#REF!</definedName>
    <definedName name="F_06_660" localSheetId="3">#REF!</definedName>
    <definedName name="F_06_660" localSheetId="11">#REF!</definedName>
    <definedName name="F_06_660">#REF!</definedName>
    <definedName name="F_06_690" localSheetId="13">#REF!</definedName>
    <definedName name="F_06_690" localSheetId="14">#REF!</definedName>
    <definedName name="F_06_690" localSheetId="15">#REF!</definedName>
    <definedName name="F_06_690" localSheetId="16">#REF!</definedName>
    <definedName name="F_06_690" localSheetId="17">#REF!</definedName>
    <definedName name="F_06_690" localSheetId="18">#REF!</definedName>
    <definedName name="F_06_690" localSheetId="20">#REF!</definedName>
    <definedName name="F_06_690" localSheetId="21">#REF!</definedName>
    <definedName name="F_06_690" localSheetId="7">#REF!</definedName>
    <definedName name="F_06_690" localSheetId="3">#REF!</definedName>
    <definedName name="F_06_690" localSheetId="11">#REF!</definedName>
    <definedName name="F_06_690">#REF!</definedName>
    <definedName name="F_06_720" localSheetId="13">#REF!</definedName>
    <definedName name="F_06_720" localSheetId="14">#REF!</definedName>
    <definedName name="F_06_720" localSheetId="15">#REF!</definedName>
    <definedName name="F_06_720" localSheetId="16">#REF!</definedName>
    <definedName name="F_06_720" localSheetId="17">#REF!</definedName>
    <definedName name="F_06_720" localSheetId="18">#REF!</definedName>
    <definedName name="F_06_720" localSheetId="20">#REF!</definedName>
    <definedName name="F_06_720" localSheetId="21">#REF!</definedName>
    <definedName name="F_06_720" localSheetId="7">#REF!</definedName>
    <definedName name="F_06_720" localSheetId="3">#REF!</definedName>
    <definedName name="F_06_720" localSheetId="11">#REF!</definedName>
    <definedName name="F_06_720">#REF!</definedName>
    <definedName name="F_06_90" localSheetId="13">#REF!</definedName>
    <definedName name="F_06_90" localSheetId="14">#REF!</definedName>
    <definedName name="F_06_90" localSheetId="15">#REF!</definedName>
    <definedName name="F_06_90" localSheetId="16">#REF!</definedName>
    <definedName name="F_06_90" localSheetId="17">#REF!</definedName>
    <definedName name="F_06_90" localSheetId="18">#REF!</definedName>
    <definedName name="F_06_90" localSheetId="20">#REF!</definedName>
    <definedName name="F_06_90" localSheetId="21">#REF!</definedName>
    <definedName name="F_06_90" localSheetId="7">#REF!</definedName>
    <definedName name="F_06_90" localSheetId="3">#REF!</definedName>
    <definedName name="F_06_90" localSheetId="11">#REF!</definedName>
    <definedName name="F_06_90">#REF!</definedName>
    <definedName name="F_07_120" localSheetId="13">#REF!</definedName>
    <definedName name="F_07_120" localSheetId="14">#REF!</definedName>
    <definedName name="F_07_120" localSheetId="15">#REF!</definedName>
    <definedName name="F_07_120" localSheetId="16">#REF!</definedName>
    <definedName name="F_07_120" localSheetId="17">#REF!</definedName>
    <definedName name="F_07_120" localSheetId="18">#REF!</definedName>
    <definedName name="F_07_120" localSheetId="20">#REF!</definedName>
    <definedName name="F_07_120" localSheetId="21">#REF!</definedName>
    <definedName name="F_07_120" localSheetId="7">#REF!</definedName>
    <definedName name="F_07_120" localSheetId="3">#REF!</definedName>
    <definedName name="F_07_120" localSheetId="11">#REF!</definedName>
    <definedName name="F_07_120">#REF!</definedName>
    <definedName name="F_07_150" localSheetId="13">#REF!</definedName>
    <definedName name="F_07_150" localSheetId="14">#REF!</definedName>
    <definedName name="F_07_150" localSheetId="15">#REF!</definedName>
    <definedName name="F_07_150" localSheetId="16">#REF!</definedName>
    <definedName name="F_07_150" localSheetId="17">#REF!</definedName>
    <definedName name="F_07_150" localSheetId="18">#REF!</definedName>
    <definedName name="F_07_150" localSheetId="20">#REF!</definedName>
    <definedName name="F_07_150" localSheetId="21">#REF!</definedName>
    <definedName name="F_07_150" localSheetId="7">#REF!</definedName>
    <definedName name="F_07_150" localSheetId="3">#REF!</definedName>
    <definedName name="F_07_150" localSheetId="11">#REF!</definedName>
    <definedName name="F_07_150">#REF!</definedName>
    <definedName name="F_07_180" localSheetId="13">#REF!</definedName>
    <definedName name="F_07_180" localSheetId="14">#REF!</definedName>
    <definedName name="F_07_180" localSheetId="15">#REF!</definedName>
    <definedName name="F_07_180" localSheetId="16">#REF!</definedName>
    <definedName name="F_07_180" localSheetId="17">#REF!</definedName>
    <definedName name="F_07_180" localSheetId="18">#REF!</definedName>
    <definedName name="F_07_180" localSheetId="20">#REF!</definedName>
    <definedName name="F_07_180" localSheetId="21">#REF!</definedName>
    <definedName name="F_07_180" localSheetId="7">#REF!</definedName>
    <definedName name="F_07_180" localSheetId="3">#REF!</definedName>
    <definedName name="F_07_180" localSheetId="11">#REF!</definedName>
    <definedName name="F_07_180">#REF!</definedName>
    <definedName name="F_07_210" localSheetId="13">#REF!</definedName>
    <definedName name="F_07_210" localSheetId="14">#REF!</definedName>
    <definedName name="F_07_210" localSheetId="15">#REF!</definedName>
    <definedName name="F_07_210" localSheetId="16">#REF!</definedName>
    <definedName name="F_07_210" localSheetId="17">#REF!</definedName>
    <definedName name="F_07_210" localSheetId="18">#REF!</definedName>
    <definedName name="F_07_210" localSheetId="20">#REF!</definedName>
    <definedName name="F_07_210" localSheetId="21">#REF!</definedName>
    <definedName name="F_07_210" localSheetId="7">#REF!</definedName>
    <definedName name="F_07_210" localSheetId="3">#REF!</definedName>
    <definedName name="F_07_210" localSheetId="11">#REF!</definedName>
    <definedName name="F_07_210">#REF!</definedName>
    <definedName name="F_07_240" localSheetId="13">#REF!</definedName>
    <definedName name="F_07_240" localSheetId="14">#REF!</definedName>
    <definedName name="F_07_240" localSheetId="15">#REF!</definedName>
    <definedName name="F_07_240" localSheetId="16">#REF!</definedName>
    <definedName name="F_07_240" localSheetId="17">#REF!</definedName>
    <definedName name="F_07_240" localSheetId="18">#REF!</definedName>
    <definedName name="F_07_240" localSheetId="20">#REF!</definedName>
    <definedName name="F_07_240" localSheetId="21">#REF!</definedName>
    <definedName name="F_07_240" localSheetId="7">#REF!</definedName>
    <definedName name="F_07_240" localSheetId="3">#REF!</definedName>
    <definedName name="F_07_240" localSheetId="11">#REF!</definedName>
    <definedName name="F_07_240">#REF!</definedName>
    <definedName name="F_07_270" localSheetId="13">#REF!</definedName>
    <definedName name="F_07_270" localSheetId="14">#REF!</definedName>
    <definedName name="F_07_270" localSheetId="15">#REF!</definedName>
    <definedName name="F_07_270" localSheetId="16">#REF!</definedName>
    <definedName name="F_07_270" localSheetId="17">#REF!</definedName>
    <definedName name="F_07_270" localSheetId="18">#REF!</definedName>
    <definedName name="F_07_270" localSheetId="20">#REF!</definedName>
    <definedName name="F_07_270" localSheetId="21">#REF!</definedName>
    <definedName name="F_07_270" localSheetId="7">#REF!</definedName>
    <definedName name="F_07_270" localSheetId="3">#REF!</definedName>
    <definedName name="F_07_270" localSheetId="11">#REF!</definedName>
    <definedName name="F_07_270">#REF!</definedName>
    <definedName name="F_07_30" localSheetId="13">#REF!</definedName>
    <definedName name="F_07_30" localSheetId="14">#REF!</definedName>
    <definedName name="F_07_30" localSheetId="15">#REF!</definedName>
    <definedName name="F_07_30" localSheetId="16">#REF!</definedName>
    <definedName name="F_07_30" localSheetId="17">#REF!</definedName>
    <definedName name="F_07_30" localSheetId="18">#REF!</definedName>
    <definedName name="F_07_30" localSheetId="20">#REF!</definedName>
    <definedName name="F_07_30" localSheetId="21">#REF!</definedName>
    <definedName name="F_07_30" localSheetId="7">#REF!</definedName>
    <definedName name="F_07_30" localSheetId="3">#REF!</definedName>
    <definedName name="F_07_30" localSheetId="11">#REF!</definedName>
    <definedName name="F_07_30">#REF!</definedName>
    <definedName name="F_07_300" localSheetId="13">#REF!</definedName>
    <definedName name="F_07_300" localSheetId="14">#REF!</definedName>
    <definedName name="F_07_300" localSheetId="15">#REF!</definedName>
    <definedName name="F_07_300" localSheetId="16">#REF!</definedName>
    <definedName name="F_07_300" localSheetId="17">#REF!</definedName>
    <definedName name="F_07_300" localSheetId="18">#REF!</definedName>
    <definedName name="F_07_300" localSheetId="20">#REF!</definedName>
    <definedName name="F_07_300" localSheetId="21">#REF!</definedName>
    <definedName name="F_07_300" localSheetId="7">#REF!</definedName>
    <definedName name="F_07_300" localSheetId="3">#REF!</definedName>
    <definedName name="F_07_300" localSheetId="11">#REF!</definedName>
    <definedName name="F_07_300">#REF!</definedName>
    <definedName name="F_07_330" localSheetId="13">#REF!</definedName>
    <definedName name="F_07_330" localSheetId="14">#REF!</definedName>
    <definedName name="F_07_330" localSheetId="15">#REF!</definedName>
    <definedName name="F_07_330" localSheetId="16">#REF!</definedName>
    <definedName name="F_07_330" localSheetId="17">#REF!</definedName>
    <definedName name="F_07_330" localSheetId="18">#REF!</definedName>
    <definedName name="F_07_330" localSheetId="20">#REF!</definedName>
    <definedName name="F_07_330" localSheetId="21">#REF!</definedName>
    <definedName name="F_07_330" localSheetId="7">#REF!</definedName>
    <definedName name="F_07_330" localSheetId="3">#REF!</definedName>
    <definedName name="F_07_330" localSheetId="11">#REF!</definedName>
    <definedName name="F_07_330">#REF!</definedName>
    <definedName name="F_07_360" localSheetId="13">#REF!</definedName>
    <definedName name="F_07_360" localSheetId="14">#REF!</definedName>
    <definedName name="F_07_360" localSheetId="15">#REF!</definedName>
    <definedName name="F_07_360" localSheetId="16">#REF!</definedName>
    <definedName name="F_07_360" localSheetId="17">#REF!</definedName>
    <definedName name="F_07_360" localSheetId="18">#REF!</definedName>
    <definedName name="F_07_360" localSheetId="20">#REF!</definedName>
    <definedName name="F_07_360" localSheetId="21">#REF!</definedName>
    <definedName name="F_07_360" localSheetId="7">#REF!</definedName>
    <definedName name="F_07_360" localSheetId="3">#REF!</definedName>
    <definedName name="F_07_360" localSheetId="11">#REF!</definedName>
    <definedName name="F_07_360">#REF!</definedName>
    <definedName name="F_07_390" localSheetId="13">#REF!</definedName>
    <definedName name="F_07_390" localSheetId="14">#REF!</definedName>
    <definedName name="F_07_390" localSheetId="15">#REF!</definedName>
    <definedName name="F_07_390" localSheetId="16">#REF!</definedName>
    <definedName name="F_07_390" localSheetId="17">#REF!</definedName>
    <definedName name="F_07_390" localSheetId="18">#REF!</definedName>
    <definedName name="F_07_390" localSheetId="20">#REF!</definedName>
    <definedName name="F_07_390" localSheetId="21">#REF!</definedName>
    <definedName name="F_07_390" localSheetId="7">#REF!</definedName>
    <definedName name="F_07_390" localSheetId="3">#REF!</definedName>
    <definedName name="F_07_390" localSheetId="11">#REF!</definedName>
    <definedName name="F_07_390">#REF!</definedName>
    <definedName name="F_07_420" localSheetId="13">#REF!</definedName>
    <definedName name="F_07_420" localSheetId="14">#REF!</definedName>
    <definedName name="F_07_420" localSheetId="15">#REF!</definedName>
    <definedName name="F_07_420" localSheetId="16">#REF!</definedName>
    <definedName name="F_07_420" localSheetId="17">#REF!</definedName>
    <definedName name="F_07_420" localSheetId="18">#REF!</definedName>
    <definedName name="F_07_420" localSheetId="20">#REF!</definedName>
    <definedName name="F_07_420" localSheetId="21">#REF!</definedName>
    <definedName name="F_07_420" localSheetId="7">#REF!</definedName>
    <definedName name="F_07_420" localSheetId="3">#REF!</definedName>
    <definedName name="F_07_420" localSheetId="11">#REF!</definedName>
    <definedName name="F_07_420">#REF!</definedName>
    <definedName name="F_07_450" localSheetId="13">#REF!</definedName>
    <definedName name="F_07_450" localSheetId="14">#REF!</definedName>
    <definedName name="F_07_450" localSheetId="15">#REF!</definedName>
    <definedName name="F_07_450" localSheetId="16">#REF!</definedName>
    <definedName name="F_07_450" localSheetId="17">#REF!</definedName>
    <definedName name="F_07_450" localSheetId="18">#REF!</definedName>
    <definedName name="F_07_450" localSheetId="20">#REF!</definedName>
    <definedName name="F_07_450" localSheetId="21">#REF!</definedName>
    <definedName name="F_07_450" localSheetId="7">#REF!</definedName>
    <definedName name="F_07_450" localSheetId="3">#REF!</definedName>
    <definedName name="F_07_450" localSheetId="11">#REF!</definedName>
    <definedName name="F_07_450">#REF!</definedName>
    <definedName name="F_07_480" localSheetId="13">#REF!</definedName>
    <definedName name="F_07_480" localSheetId="14">#REF!</definedName>
    <definedName name="F_07_480" localSheetId="15">#REF!</definedName>
    <definedName name="F_07_480" localSheetId="16">#REF!</definedName>
    <definedName name="F_07_480" localSheetId="17">#REF!</definedName>
    <definedName name="F_07_480" localSheetId="18">#REF!</definedName>
    <definedName name="F_07_480" localSheetId="20">#REF!</definedName>
    <definedName name="F_07_480" localSheetId="21">#REF!</definedName>
    <definedName name="F_07_480" localSheetId="7">#REF!</definedName>
    <definedName name="F_07_480" localSheetId="3">#REF!</definedName>
    <definedName name="F_07_480" localSheetId="11">#REF!</definedName>
    <definedName name="F_07_480">#REF!</definedName>
    <definedName name="F_07_510" localSheetId="13">#REF!</definedName>
    <definedName name="F_07_510" localSheetId="14">#REF!</definedName>
    <definedName name="F_07_510" localSheetId="15">#REF!</definedName>
    <definedName name="F_07_510" localSheetId="16">#REF!</definedName>
    <definedName name="F_07_510" localSheetId="17">#REF!</definedName>
    <definedName name="F_07_510" localSheetId="18">#REF!</definedName>
    <definedName name="F_07_510" localSheetId="20">#REF!</definedName>
    <definedName name="F_07_510" localSheetId="21">#REF!</definedName>
    <definedName name="F_07_510" localSheetId="7">#REF!</definedName>
    <definedName name="F_07_510" localSheetId="3">#REF!</definedName>
    <definedName name="F_07_510" localSheetId="11">#REF!</definedName>
    <definedName name="F_07_510">#REF!</definedName>
    <definedName name="F_07_540" localSheetId="13">#REF!</definedName>
    <definedName name="F_07_540" localSheetId="14">#REF!</definedName>
    <definedName name="F_07_540" localSheetId="15">#REF!</definedName>
    <definedName name="F_07_540" localSheetId="16">#REF!</definedName>
    <definedName name="F_07_540" localSheetId="17">#REF!</definedName>
    <definedName name="F_07_540" localSheetId="18">#REF!</definedName>
    <definedName name="F_07_540" localSheetId="20">#REF!</definedName>
    <definedName name="F_07_540" localSheetId="21">#REF!</definedName>
    <definedName name="F_07_540" localSheetId="7">#REF!</definedName>
    <definedName name="F_07_540" localSheetId="3">#REF!</definedName>
    <definedName name="F_07_540" localSheetId="11">#REF!</definedName>
    <definedName name="F_07_540">#REF!</definedName>
    <definedName name="F_07_570" localSheetId="13">#REF!</definedName>
    <definedName name="F_07_570" localSheetId="14">#REF!</definedName>
    <definedName name="F_07_570" localSheetId="15">#REF!</definedName>
    <definedName name="F_07_570" localSheetId="16">#REF!</definedName>
    <definedName name="F_07_570" localSheetId="17">#REF!</definedName>
    <definedName name="F_07_570" localSheetId="18">#REF!</definedName>
    <definedName name="F_07_570" localSheetId="20">#REF!</definedName>
    <definedName name="F_07_570" localSheetId="21">#REF!</definedName>
    <definedName name="F_07_570" localSheetId="7">#REF!</definedName>
    <definedName name="F_07_570" localSheetId="3">#REF!</definedName>
    <definedName name="F_07_570" localSheetId="11">#REF!</definedName>
    <definedName name="F_07_570">#REF!</definedName>
    <definedName name="F_07_60" localSheetId="13">#REF!</definedName>
    <definedName name="F_07_60" localSheetId="14">#REF!</definedName>
    <definedName name="F_07_60" localSheetId="15">#REF!</definedName>
    <definedName name="F_07_60" localSheetId="16">#REF!</definedName>
    <definedName name="F_07_60" localSheetId="17">#REF!</definedName>
    <definedName name="F_07_60" localSheetId="18">#REF!</definedName>
    <definedName name="F_07_60" localSheetId="20">#REF!</definedName>
    <definedName name="F_07_60" localSheetId="21">#REF!</definedName>
    <definedName name="F_07_60" localSheetId="7">#REF!</definedName>
    <definedName name="F_07_60" localSheetId="3">#REF!</definedName>
    <definedName name="F_07_60" localSheetId="11">#REF!</definedName>
    <definedName name="F_07_60">#REF!</definedName>
    <definedName name="F_07_600" localSheetId="13">#REF!</definedName>
    <definedName name="F_07_600" localSheetId="14">#REF!</definedName>
    <definedName name="F_07_600" localSheetId="15">#REF!</definedName>
    <definedName name="F_07_600" localSheetId="16">#REF!</definedName>
    <definedName name="F_07_600" localSheetId="17">#REF!</definedName>
    <definedName name="F_07_600" localSheetId="18">#REF!</definedName>
    <definedName name="F_07_600" localSheetId="20">#REF!</definedName>
    <definedName name="F_07_600" localSheetId="21">#REF!</definedName>
    <definedName name="F_07_600" localSheetId="7">#REF!</definedName>
    <definedName name="F_07_600" localSheetId="3">#REF!</definedName>
    <definedName name="F_07_600" localSheetId="11">#REF!</definedName>
    <definedName name="F_07_600">#REF!</definedName>
    <definedName name="F_07_630" localSheetId="13">#REF!</definedName>
    <definedName name="F_07_630" localSheetId="14">#REF!</definedName>
    <definedName name="F_07_630" localSheetId="15">#REF!</definedName>
    <definedName name="F_07_630" localSheetId="16">#REF!</definedName>
    <definedName name="F_07_630" localSheetId="17">#REF!</definedName>
    <definedName name="F_07_630" localSheetId="18">#REF!</definedName>
    <definedName name="F_07_630" localSheetId="20">#REF!</definedName>
    <definedName name="F_07_630" localSheetId="21">#REF!</definedName>
    <definedName name="F_07_630" localSheetId="7">#REF!</definedName>
    <definedName name="F_07_630" localSheetId="3">#REF!</definedName>
    <definedName name="F_07_630" localSheetId="11">#REF!</definedName>
    <definedName name="F_07_630">#REF!</definedName>
    <definedName name="F_07_660" localSheetId="13">#REF!</definedName>
    <definedName name="F_07_660" localSheetId="14">#REF!</definedName>
    <definedName name="F_07_660" localSheetId="15">#REF!</definedName>
    <definedName name="F_07_660" localSheetId="16">#REF!</definedName>
    <definedName name="F_07_660" localSheetId="17">#REF!</definedName>
    <definedName name="F_07_660" localSheetId="18">#REF!</definedName>
    <definedName name="F_07_660" localSheetId="20">#REF!</definedName>
    <definedName name="F_07_660" localSheetId="21">#REF!</definedName>
    <definedName name="F_07_660" localSheetId="7">#REF!</definedName>
    <definedName name="F_07_660" localSheetId="3">#REF!</definedName>
    <definedName name="F_07_660" localSheetId="11">#REF!</definedName>
    <definedName name="F_07_660">#REF!</definedName>
    <definedName name="F_07_690" localSheetId="13">#REF!</definedName>
    <definedName name="F_07_690" localSheetId="14">#REF!</definedName>
    <definedName name="F_07_690" localSheetId="15">#REF!</definedName>
    <definedName name="F_07_690" localSheetId="16">#REF!</definedName>
    <definedName name="F_07_690" localSheetId="17">#REF!</definedName>
    <definedName name="F_07_690" localSheetId="18">#REF!</definedName>
    <definedName name="F_07_690" localSheetId="20">#REF!</definedName>
    <definedName name="F_07_690" localSheetId="21">#REF!</definedName>
    <definedName name="F_07_690" localSheetId="7">#REF!</definedName>
    <definedName name="F_07_690" localSheetId="3">#REF!</definedName>
    <definedName name="F_07_690" localSheetId="11">#REF!</definedName>
    <definedName name="F_07_690">#REF!</definedName>
    <definedName name="F_07_720" localSheetId="13">#REF!</definedName>
    <definedName name="F_07_720" localSheetId="14">#REF!</definedName>
    <definedName name="F_07_720" localSheetId="15">#REF!</definedName>
    <definedName name="F_07_720" localSheetId="16">#REF!</definedName>
    <definedName name="F_07_720" localSheetId="17">#REF!</definedName>
    <definedName name="F_07_720" localSheetId="18">#REF!</definedName>
    <definedName name="F_07_720" localSheetId="20">#REF!</definedName>
    <definedName name="F_07_720" localSheetId="21">#REF!</definedName>
    <definedName name="F_07_720" localSheetId="7">#REF!</definedName>
    <definedName name="F_07_720" localSheetId="3">#REF!</definedName>
    <definedName name="F_07_720" localSheetId="11">#REF!</definedName>
    <definedName name="F_07_720">#REF!</definedName>
    <definedName name="F_07_90" localSheetId="13">#REF!</definedName>
    <definedName name="F_07_90" localSheetId="14">#REF!</definedName>
    <definedName name="F_07_90" localSheetId="15">#REF!</definedName>
    <definedName name="F_07_90" localSheetId="16">#REF!</definedName>
    <definedName name="F_07_90" localSheetId="17">#REF!</definedName>
    <definedName name="F_07_90" localSheetId="18">#REF!</definedName>
    <definedName name="F_07_90" localSheetId="20">#REF!</definedName>
    <definedName name="F_07_90" localSheetId="21">#REF!</definedName>
    <definedName name="F_07_90" localSheetId="7">#REF!</definedName>
    <definedName name="F_07_90" localSheetId="3">#REF!</definedName>
    <definedName name="F_07_90" localSheetId="11">#REF!</definedName>
    <definedName name="F_07_90">#REF!</definedName>
    <definedName name="F_08_120" localSheetId="13">#REF!</definedName>
    <definedName name="F_08_120" localSheetId="14">#REF!</definedName>
    <definedName name="F_08_120" localSheetId="15">#REF!</definedName>
    <definedName name="F_08_120" localSheetId="16">#REF!</definedName>
    <definedName name="F_08_120" localSheetId="17">#REF!</definedName>
    <definedName name="F_08_120" localSheetId="18">#REF!</definedName>
    <definedName name="F_08_120" localSheetId="20">#REF!</definedName>
    <definedName name="F_08_120" localSheetId="21">#REF!</definedName>
    <definedName name="F_08_120" localSheetId="7">#REF!</definedName>
    <definedName name="F_08_120" localSheetId="3">#REF!</definedName>
    <definedName name="F_08_120" localSheetId="11">#REF!</definedName>
    <definedName name="F_08_120">#REF!</definedName>
    <definedName name="F_08_150" localSheetId="13">#REF!</definedName>
    <definedName name="F_08_150" localSheetId="14">#REF!</definedName>
    <definedName name="F_08_150" localSheetId="15">#REF!</definedName>
    <definedName name="F_08_150" localSheetId="16">#REF!</definedName>
    <definedName name="F_08_150" localSheetId="17">#REF!</definedName>
    <definedName name="F_08_150" localSheetId="18">#REF!</definedName>
    <definedName name="F_08_150" localSheetId="20">#REF!</definedName>
    <definedName name="F_08_150" localSheetId="21">#REF!</definedName>
    <definedName name="F_08_150" localSheetId="7">#REF!</definedName>
    <definedName name="F_08_150" localSheetId="3">#REF!</definedName>
    <definedName name="F_08_150" localSheetId="11">#REF!</definedName>
    <definedName name="F_08_150">#REF!</definedName>
    <definedName name="F_08_180" localSheetId="13">#REF!</definedName>
    <definedName name="F_08_180" localSheetId="14">#REF!</definedName>
    <definedName name="F_08_180" localSheetId="15">#REF!</definedName>
    <definedName name="F_08_180" localSheetId="16">#REF!</definedName>
    <definedName name="F_08_180" localSheetId="17">#REF!</definedName>
    <definedName name="F_08_180" localSheetId="18">#REF!</definedName>
    <definedName name="F_08_180" localSheetId="20">#REF!</definedName>
    <definedName name="F_08_180" localSheetId="21">#REF!</definedName>
    <definedName name="F_08_180" localSheetId="7">#REF!</definedName>
    <definedName name="F_08_180" localSheetId="3">#REF!</definedName>
    <definedName name="F_08_180" localSheetId="11">#REF!</definedName>
    <definedName name="F_08_180">#REF!</definedName>
    <definedName name="F_08_210" localSheetId="13">#REF!</definedName>
    <definedName name="F_08_210" localSheetId="14">#REF!</definedName>
    <definedName name="F_08_210" localSheetId="15">#REF!</definedName>
    <definedName name="F_08_210" localSheetId="16">#REF!</definedName>
    <definedName name="F_08_210" localSheetId="17">#REF!</definedName>
    <definedName name="F_08_210" localSheetId="18">#REF!</definedName>
    <definedName name="F_08_210" localSheetId="20">#REF!</definedName>
    <definedName name="F_08_210" localSheetId="21">#REF!</definedName>
    <definedName name="F_08_210" localSheetId="7">#REF!</definedName>
    <definedName name="F_08_210" localSheetId="3">#REF!</definedName>
    <definedName name="F_08_210" localSheetId="11">#REF!</definedName>
    <definedName name="F_08_210">#REF!</definedName>
    <definedName name="F_08_240" localSheetId="13">#REF!</definedName>
    <definedName name="F_08_240" localSheetId="14">#REF!</definedName>
    <definedName name="F_08_240" localSheetId="15">#REF!</definedName>
    <definedName name="F_08_240" localSheetId="16">#REF!</definedName>
    <definedName name="F_08_240" localSheetId="17">#REF!</definedName>
    <definedName name="F_08_240" localSheetId="18">#REF!</definedName>
    <definedName name="F_08_240" localSheetId="20">#REF!</definedName>
    <definedName name="F_08_240" localSheetId="21">#REF!</definedName>
    <definedName name="F_08_240" localSheetId="7">#REF!</definedName>
    <definedName name="F_08_240" localSheetId="3">#REF!</definedName>
    <definedName name="F_08_240" localSheetId="11">#REF!</definedName>
    <definedName name="F_08_240">#REF!</definedName>
    <definedName name="F_08_270" localSheetId="13">#REF!</definedName>
    <definedName name="F_08_270" localSheetId="14">#REF!</definedName>
    <definedName name="F_08_270" localSheetId="15">#REF!</definedName>
    <definedName name="F_08_270" localSheetId="16">#REF!</definedName>
    <definedName name="F_08_270" localSheetId="17">#REF!</definedName>
    <definedName name="F_08_270" localSheetId="18">#REF!</definedName>
    <definedName name="F_08_270" localSheetId="20">#REF!</definedName>
    <definedName name="F_08_270" localSheetId="21">#REF!</definedName>
    <definedName name="F_08_270" localSheetId="7">#REF!</definedName>
    <definedName name="F_08_270" localSheetId="3">#REF!</definedName>
    <definedName name="F_08_270" localSheetId="11">#REF!</definedName>
    <definedName name="F_08_270">#REF!</definedName>
    <definedName name="F_08_30" localSheetId="13">#REF!</definedName>
    <definedName name="F_08_30" localSheetId="14">#REF!</definedName>
    <definedName name="F_08_30" localSheetId="15">#REF!</definedName>
    <definedName name="F_08_30" localSheetId="16">#REF!</definedName>
    <definedName name="F_08_30" localSheetId="17">#REF!</definedName>
    <definedName name="F_08_30" localSheetId="18">#REF!</definedName>
    <definedName name="F_08_30" localSheetId="20">#REF!</definedName>
    <definedName name="F_08_30" localSheetId="21">#REF!</definedName>
    <definedName name="F_08_30" localSheetId="7">#REF!</definedName>
    <definedName name="F_08_30" localSheetId="3">#REF!</definedName>
    <definedName name="F_08_30" localSheetId="11">#REF!</definedName>
    <definedName name="F_08_30">#REF!</definedName>
    <definedName name="F_08_300" localSheetId="13">#REF!</definedName>
    <definedName name="F_08_300" localSheetId="14">#REF!</definedName>
    <definedName name="F_08_300" localSheetId="15">#REF!</definedName>
    <definedName name="F_08_300" localSheetId="16">#REF!</definedName>
    <definedName name="F_08_300" localSheetId="17">#REF!</definedName>
    <definedName name="F_08_300" localSheetId="18">#REF!</definedName>
    <definedName name="F_08_300" localSheetId="20">#REF!</definedName>
    <definedName name="F_08_300" localSheetId="21">#REF!</definedName>
    <definedName name="F_08_300" localSheetId="7">#REF!</definedName>
    <definedName name="F_08_300" localSheetId="3">#REF!</definedName>
    <definedName name="F_08_300" localSheetId="11">#REF!</definedName>
    <definedName name="F_08_300">#REF!</definedName>
    <definedName name="F_08_330" localSheetId="13">#REF!</definedName>
    <definedName name="F_08_330" localSheetId="14">#REF!</definedName>
    <definedName name="F_08_330" localSheetId="15">#REF!</definedName>
    <definedName name="F_08_330" localSheetId="16">#REF!</definedName>
    <definedName name="F_08_330" localSheetId="17">#REF!</definedName>
    <definedName name="F_08_330" localSheetId="18">#REF!</definedName>
    <definedName name="F_08_330" localSheetId="20">#REF!</definedName>
    <definedName name="F_08_330" localSheetId="21">#REF!</definedName>
    <definedName name="F_08_330" localSheetId="7">#REF!</definedName>
    <definedName name="F_08_330" localSheetId="3">#REF!</definedName>
    <definedName name="F_08_330" localSheetId="11">#REF!</definedName>
    <definedName name="F_08_330">#REF!</definedName>
    <definedName name="F_08_360" localSheetId="13">#REF!</definedName>
    <definedName name="F_08_360" localSheetId="14">#REF!</definedName>
    <definedName name="F_08_360" localSheetId="15">#REF!</definedName>
    <definedName name="F_08_360" localSheetId="16">#REF!</definedName>
    <definedName name="F_08_360" localSheetId="17">#REF!</definedName>
    <definedName name="F_08_360" localSheetId="18">#REF!</definedName>
    <definedName name="F_08_360" localSheetId="20">#REF!</definedName>
    <definedName name="F_08_360" localSheetId="21">#REF!</definedName>
    <definedName name="F_08_360" localSheetId="7">#REF!</definedName>
    <definedName name="F_08_360" localSheetId="3">#REF!</definedName>
    <definedName name="F_08_360" localSheetId="11">#REF!</definedName>
    <definedName name="F_08_360">#REF!</definedName>
    <definedName name="F_08_390" localSheetId="13">#REF!</definedName>
    <definedName name="F_08_390" localSheetId="14">#REF!</definedName>
    <definedName name="F_08_390" localSheetId="15">#REF!</definedName>
    <definedName name="F_08_390" localSheetId="16">#REF!</definedName>
    <definedName name="F_08_390" localSheetId="17">#REF!</definedName>
    <definedName name="F_08_390" localSheetId="18">#REF!</definedName>
    <definedName name="F_08_390" localSheetId="20">#REF!</definedName>
    <definedName name="F_08_390" localSheetId="21">#REF!</definedName>
    <definedName name="F_08_390" localSheetId="7">#REF!</definedName>
    <definedName name="F_08_390" localSheetId="3">#REF!</definedName>
    <definedName name="F_08_390" localSheetId="11">#REF!</definedName>
    <definedName name="F_08_390">#REF!</definedName>
    <definedName name="F_08_420" localSheetId="13">#REF!</definedName>
    <definedName name="F_08_420" localSheetId="14">#REF!</definedName>
    <definedName name="F_08_420" localSheetId="15">#REF!</definedName>
    <definedName name="F_08_420" localSheetId="16">#REF!</definedName>
    <definedName name="F_08_420" localSheetId="17">#REF!</definedName>
    <definedName name="F_08_420" localSheetId="18">#REF!</definedName>
    <definedName name="F_08_420" localSheetId="20">#REF!</definedName>
    <definedName name="F_08_420" localSheetId="21">#REF!</definedName>
    <definedName name="F_08_420" localSheetId="7">#REF!</definedName>
    <definedName name="F_08_420" localSheetId="3">#REF!</definedName>
    <definedName name="F_08_420" localSheetId="11">#REF!</definedName>
    <definedName name="F_08_420">#REF!</definedName>
    <definedName name="F_08_450" localSheetId="13">#REF!</definedName>
    <definedName name="F_08_450" localSheetId="14">#REF!</definedName>
    <definedName name="F_08_450" localSheetId="15">#REF!</definedName>
    <definedName name="F_08_450" localSheetId="16">#REF!</definedName>
    <definedName name="F_08_450" localSheetId="17">#REF!</definedName>
    <definedName name="F_08_450" localSheetId="18">#REF!</definedName>
    <definedName name="F_08_450" localSheetId="20">#REF!</definedName>
    <definedName name="F_08_450" localSheetId="21">#REF!</definedName>
    <definedName name="F_08_450" localSheetId="7">#REF!</definedName>
    <definedName name="F_08_450" localSheetId="3">#REF!</definedName>
    <definedName name="F_08_450" localSheetId="11">#REF!</definedName>
    <definedName name="F_08_450">#REF!</definedName>
    <definedName name="F_08_480" localSheetId="13">#REF!</definedName>
    <definedName name="F_08_480" localSheetId="14">#REF!</definedName>
    <definedName name="F_08_480" localSheetId="15">#REF!</definedName>
    <definedName name="F_08_480" localSheetId="16">#REF!</definedName>
    <definedName name="F_08_480" localSheetId="17">#REF!</definedName>
    <definedName name="F_08_480" localSheetId="18">#REF!</definedName>
    <definedName name="F_08_480" localSheetId="20">#REF!</definedName>
    <definedName name="F_08_480" localSheetId="21">#REF!</definedName>
    <definedName name="F_08_480" localSheetId="7">#REF!</definedName>
    <definedName name="F_08_480" localSheetId="3">#REF!</definedName>
    <definedName name="F_08_480" localSheetId="11">#REF!</definedName>
    <definedName name="F_08_480">#REF!</definedName>
    <definedName name="F_08_510" localSheetId="13">#REF!</definedName>
    <definedName name="F_08_510" localSheetId="14">#REF!</definedName>
    <definedName name="F_08_510" localSheetId="15">#REF!</definedName>
    <definedName name="F_08_510" localSheetId="16">#REF!</definedName>
    <definedName name="F_08_510" localSheetId="17">#REF!</definedName>
    <definedName name="F_08_510" localSheetId="18">#REF!</definedName>
    <definedName name="F_08_510" localSheetId="20">#REF!</definedName>
    <definedName name="F_08_510" localSheetId="21">#REF!</definedName>
    <definedName name="F_08_510" localSheetId="7">#REF!</definedName>
    <definedName name="F_08_510" localSheetId="3">#REF!</definedName>
    <definedName name="F_08_510" localSheetId="11">#REF!</definedName>
    <definedName name="F_08_510">#REF!</definedName>
    <definedName name="F_08_540" localSheetId="13">#REF!</definedName>
    <definedName name="F_08_540" localSheetId="14">#REF!</definedName>
    <definedName name="F_08_540" localSheetId="15">#REF!</definedName>
    <definedName name="F_08_540" localSheetId="16">#REF!</definedName>
    <definedName name="F_08_540" localSheetId="17">#REF!</definedName>
    <definedName name="F_08_540" localSheetId="18">#REF!</definedName>
    <definedName name="F_08_540" localSheetId="20">#REF!</definedName>
    <definedName name="F_08_540" localSheetId="21">#REF!</definedName>
    <definedName name="F_08_540" localSheetId="7">#REF!</definedName>
    <definedName name="F_08_540" localSheetId="3">#REF!</definedName>
    <definedName name="F_08_540" localSheetId="11">#REF!</definedName>
    <definedName name="F_08_540">#REF!</definedName>
    <definedName name="F_08_570" localSheetId="13">#REF!</definedName>
    <definedName name="F_08_570" localSheetId="14">#REF!</definedName>
    <definedName name="F_08_570" localSheetId="15">#REF!</definedName>
    <definedName name="F_08_570" localSheetId="16">#REF!</definedName>
    <definedName name="F_08_570" localSheetId="17">#REF!</definedName>
    <definedName name="F_08_570" localSheetId="18">#REF!</definedName>
    <definedName name="F_08_570" localSheetId="20">#REF!</definedName>
    <definedName name="F_08_570" localSheetId="21">#REF!</definedName>
    <definedName name="F_08_570" localSheetId="7">#REF!</definedName>
    <definedName name="F_08_570" localSheetId="3">#REF!</definedName>
    <definedName name="F_08_570" localSheetId="11">#REF!</definedName>
    <definedName name="F_08_570">#REF!</definedName>
    <definedName name="F_08_60" localSheetId="13">#REF!</definedName>
    <definedName name="F_08_60" localSheetId="14">#REF!</definedName>
    <definedName name="F_08_60" localSheetId="15">#REF!</definedName>
    <definedName name="F_08_60" localSheetId="16">#REF!</definedName>
    <definedName name="F_08_60" localSheetId="17">#REF!</definedName>
    <definedName name="F_08_60" localSheetId="18">#REF!</definedName>
    <definedName name="F_08_60" localSheetId="20">#REF!</definedName>
    <definedName name="F_08_60" localSheetId="21">#REF!</definedName>
    <definedName name="F_08_60" localSheetId="7">#REF!</definedName>
    <definedName name="F_08_60" localSheetId="3">#REF!</definedName>
    <definedName name="F_08_60" localSheetId="11">#REF!</definedName>
    <definedName name="F_08_60">#REF!</definedName>
    <definedName name="F_08_600" localSheetId="13">#REF!</definedName>
    <definedName name="F_08_600" localSheetId="14">#REF!</definedName>
    <definedName name="F_08_600" localSheetId="15">#REF!</definedName>
    <definedName name="F_08_600" localSheetId="16">#REF!</definedName>
    <definedName name="F_08_600" localSheetId="17">#REF!</definedName>
    <definedName name="F_08_600" localSheetId="18">#REF!</definedName>
    <definedName name="F_08_600" localSheetId="20">#REF!</definedName>
    <definedName name="F_08_600" localSheetId="21">#REF!</definedName>
    <definedName name="F_08_600" localSheetId="7">#REF!</definedName>
    <definedName name="F_08_600" localSheetId="3">#REF!</definedName>
    <definedName name="F_08_600" localSheetId="11">#REF!</definedName>
    <definedName name="F_08_600">#REF!</definedName>
    <definedName name="F_08_630" localSheetId="13">#REF!</definedName>
    <definedName name="F_08_630" localSheetId="14">#REF!</definedName>
    <definedName name="F_08_630" localSheetId="15">#REF!</definedName>
    <definedName name="F_08_630" localSheetId="16">#REF!</definedName>
    <definedName name="F_08_630" localSheetId="17">#REF!</definedName>
    <definedName name="F_08_630" localSheetId="18">#REF!</definedName>
    <definedName name="F_08_630" localSheetId="20">#REF!</definedName>
    <definedName name="F_08_630" localSheetId="21">#REF!</definedName>
    <definedName name="F_08_630" localSheetId="7">#REF!</definedName>
    <definedName name="F_08_630" localSheetId="3">#REF!</definedName>
    <definedName name="F_08_630" localSheetId="11">#REF!</definedName>
    <definedName name="F_08_630">#REF!</definedName>
    <definedName name="F_08_660" localSheetId="13">#REF!</definedName>
    <definedName name="F_08_660" localSheetId="14">#REF!</definedName>
    <definedName name="F_08_660" localSheetId="15">#REF!</definedName>
    <definedName name="F_08_660" localSheetId="16">#REF!</definedName>
    <definedName name="F_08_660" localSheetId="17">#REF!</definedName>
    <definedName name="F_08_660" localSheetId="18">#REF!</definedName>
    <definedName name="F_08_660" localSheetId="20">#REF!</definedName>
    <definedName name="F_08_660" localSheetId="21">#REF!</definedName>
    <definedName name="F_08_660" localSheetId="7">#REF!</definedName>
    <definedName name="F_08_660" localSheetId="3">#REF!</definedName>
    <definedName name="F_08_660" localSheetId="11">#REF!</definedName>
    <definedName name="F_08_660">#REF!</definedName>
    <definedName name="F_08_690" localSheetId="13">#REF!</definedName>
    <definedName name="F_08_690" localSheetId="14">#REF!</definedName>
    <definedName name="F_08_690" localSheetId="15">#REF!</definedName>
    <definedName name="F_08_690" localSheetId="16">#REF!</definedName>
    <definedName name="F_08_690" localSheetId="17">#REF!</definedName>
    <definedName name="F_08_690" localSheetId="18">#REF!</definedName>
    <definedName name="F_08_690" localSheetId="20">#REF!</definedName>
    <definedName name="F_08_690" localSheetId="21">#REF!</definedName>
    <definedName name="F_08_690" localSheetId="7">#REF!</definedName>
    <definedName name="F_08_690" localSheetId="3">#REF!</definedName>
    <definedName name="F_08_690" localSheetId="11">#REF!</definedName>
    <definedName name="F_08_690">#REF!</definedName>
    <definedName name="F_08_720" localSheetId="13">#REF!</definedName>
    <definedName name="F_08_720" localSheetId="14">#REF!</definedName>
    <definedName name="F_08_720" localSheetId="15">#REF!</definedName>
    <definedName name="F_08_720" localSheetId="16">#REF!</definedName>
    <definedName name="F_08_720" localSheetId="17">#REF!</definedName>
    <definedName name="F_08_720" localSheetId="18">#REF!</definedName>
    <definedName name="F_08_720" localSheetId="20">#REF!</definedName>
    <definedName name="F_08_720" localSheetId="21">#REF!</definedName>
    <definedName name="F_08_720" localSheetId="7">#REF!</definedName>
    <definedName name="F_08_720" localSheetId="3">#REF!</definedName>
    <definedName name="F_08_720" localSheetId="11">#REF!</definedName>
    <definedName name="F_08_720">#REF!</definedName>
    <definedName name="F_08_90" localSheetId="13">#REF!</definedName>
    <definedName name="F_08_90" localSheetId="14">#REF!</definedName>
    <definedName name="F_08_90" localSheetId="15">#REF!</definedName>
    <definedName name="F_08_90" localSheetId="16">#REF!</definedName>
    <definedName name="F_08_90" localSheetId="17">#REF!</definedName>
    <definedName name="F_08_90" localSheetId="18">#REF!</definedName>
    <definedName name="F_08_90" localSheetId="20">#REF!</definedName>
    <definedName name="F_08_90" localSheetId="21">#REF!</definedName>
    <definedName name="F_08_90" localSheetId="7">#REF!</definedName>
    <definedName name="F_08_90" localSheetId="3">#REF!</definedName>
    <definedName name="F_08_90" localSheetId="11">#REF!</definedName>
    <definedName name="F_08_90">#REF!</definedName>
    <definedName name="F_09_120" localSheetId="13">#REF!</definedName>
    <definedName name="F_09_120" localSheetId="14">#REF!</definedName>
    <definedName name="F_09_120" localSheetId="15">#REF!</definedName>
    <definedName name="F_09_120" localSheetId="16">#REF!</definedName>
    <definedName name="F_09_120" localSheetId="17">#REF!</definedName>
    <definedName name="F_09_120" localSheetId="18">#REF!</definedName>
    <definedName name="F_09_120" localSheetId="20">#REF!</definedName>
    <definedName name="F_09_120" localSheetId="21">#REF!</definedName>
    <definedName name="F_09_120" localSheetId="7">#REF!</definedName>
    <definedName name="F_09_120" localSheetId="3">#REF!</definedName>
    <definedName name="F_09_120" localSheetId="11">#REF!</definedName>
    <definedName name="F_09_120">#REF!</definedName>
    <definedName name="F_09_150" localSheetId="13">#REF!</definedName>
    <definedName name="F_09_150" localSheetId="14">#REF!</definedName>
    <definedName name="F_09_150" localSheetId="15">#REF!</definedName>
    <definedName name="F_09_150" localSheetId="16">#REF!</definedName>
    <definedName name="F_09_150" localSheetId="17">#REF!</definedName>
    <definedName name="F_09_150" localSheetId="18">#REF!</definedName>
    <definedName name="F_09_150" localSheetId="20">#REF!</definedName>
    <definedName name="F_09_150" localSheetId="21">#REF!</definedName>
    <definedName name="F_09_150" localSheetId="7">#REF!</definedName>
    <definedName name="F_09_150" localSheetId="3">#REF!</definedName>
    <definedName name="F_09_150" localSheetId="11">#REF!</definedName>
    <definedName name="F_09_150">#REF!</definedName>
    <definedName name="F_09_180" localSheetId="13">#REF!</definedName>
    <definedName name="F_09_180" localSheetId="14">#REF!</definedName>
    <definedName name="F_09_180" localSheetId="15">#REF!</definedName>
    <definedName name="F_09_180" localSheetId="16">#REF!</definedName>
    <definedName name="F_09_180" localSheetId="17">#REF!</definedName>
    <definedName name="F_09_180" localSheetId="18">#REF!</definedName>
    <definedName name="F_09_180" localSheetId="20">#REF!</definedName>
    <definedName name="F_09_180" localSheetId="21">#REF!</definedName>
    <definedName name="F_09_180" localSheetId="7">#REF!</definedName>
    <definedName name="F_09_180" localSheetId="3">#REF!</definedName>
    <definedName name="F_09_180" localSheetId="11">#REF!</definedName>
    <definedName name="F_09_180">#REF!</definedName>
    <definedName name="F_09_210" localSheetId="13">#REF!</definedName>
    <definedName name="F_09_210" localSheetId="14">#REF!</definedName>
    <definedName name="F_09_210" localSheetId="15">#REF!</definedName>
    <definedName name="F_09_210" localSheetId="16">#REF!</definedName>
    <definedName name="F_09_210" localSheetId="17">#REF!</definedName>
    <definedName name="F_09_210" localSheetId="18">#REF!</definedName>
    <definedName name="F_09_210" localSheetId="20">#REF!</definedName>
    <definedName name="F_09_210" localSheetId="21">#REF!</definedName>
    <definedName name="F_09_210" localSheetId="7">#REF!</definedName>
    <definedName name="F_09_210" localSheetId="3">#REF!</definedName>
    <definedName name="F_09_210" localSheetId="11">#REF!</definedName>
    <definedName name="F_09_210">#REF!</definedName>
    <definedName name="F_09_240" localSheetId="13">#REF!</definedName>
    <definedName name="F_09_240" localSheetId="14">#REF!</definedName>
    <definedName name="F_09_240" localSheetId="15">#REF!</definedName>
    <definedName name="F_09_240" localSheetId="16">#REF!</definedName>
    <definedName name="F_09_240" localSheetId="17">#REF!</definedName>
    <definedName name="F_09_240" localSheetId="18">#REF!</definedName>
    <definedName name="F_09_240" localSheetId="20">#REF!</definedName>
    <definedName name="F_09_240" localSheetId="21">#REF!</definedName>
    <definedName name="F_09_240" localSheetId="7">#REF!</definedName>
    <definedName name="F_09_240" localSheetId="3">#REF!</definedName>
    <definedName name="F_09_240" localSheetId="11">#REF!</definedName>
    <definedName name="F_09_240">#REF!</definedName>
    <definedName name="F_09_270" localSheetId="13">#REF!</definedName>
    <definedName name="F_09_270" localSheetId="14">#REF!</definedName>
    <definedName name="F_09_270" localSheetId="15">#REF!</definedName>
    <definedName name="F_09_270" localSheetId="16">#REF!</definedName>
    <definedName name="F_09_270" localSheetId="17">#REF!</definedName>
    <definedName name="F_09_270" localSheetId="18">#REF!</definedName>
    <definedName name="F_09_270" localSheetId="20">#REF!</definedName>
    <definedName name="F_09_270" localSheetId="21">#REF!</definedName>
    <definedName name="F_09_270" localSheetId="7">#REF!</definedName>
    <definedName name="F_09_270" localSheetId="3">#REF!</definedName>
    <definedName name="F_09_270" localSheetId="11">#REF!</definedName>
    <definedName name="F_09_270">#REF!</definedName>
    <definedName name="F_09_30" localSheetId="13">#REF!</definedName>
    <definedName name="F_09_30" localSheetId="14">#REF!</definedName>
    <definedName name="F_09_30" localSheetId="15">#REF!</definedName>
    <definedName name="F_09_30" localSheetId="16">#REF!</definedName>
    <definedName name="F_09_30" localSheetId="17">#REF!</definedName>
    <definedName name="F_09_30" localSheetId="18">#REF!</definedName>
    <definedName name="F_09_30" localSheetId="20">#REF!</definedName>
    <definedName name="F_09_30" localSheetId="21">#REF!</definedName>
    <definedName name="F_09_30" localSheetId="7">#REF!</definedName>
    <definedName name="F_09_30" localSheetId="3">#REF!</definedName>
    <definedName name="F_09_30" localSheetId="11">#REF!</definedName>
    <definedName name="F_09_30">#REF!</definedName>
    <definedName name="F_09_300" localSheetId="13">#REF!</definedName>
    <definedName name="F_09_300" localSheetId="14">#REF!</definedName>
    <definedName name="F_09_300" localSheetId="15">#REF!</definedName>
    <definedName name="F_09_300" localSheetId="16">#REF!</definedName>
    <definedName name="F_09_300" localSheetId="17">#REF!</definedName>
    <definedName name="F_09_300" localSheetId="18">#REF!</definedName>
    <definedName name="F_09_300" localSheetId="20">#REF!</definedName>
    <definedName name="F_09_300" localSheetId="21">#REF!</definedName>
    <definedName name="F_09_300" localSheetId="7">#REF!</definedName>
    <definedName name="F_09_300" localSheetId="3">#REF!</definedName>
    <definedName name="F_09_300" localSheetId="11">#REF!</definedName>
    <definedName name="F_09_300">#REF!</definedName>
    <definedName name="F_09_330" localSheetId="13">#REF!</definedName>
    <definedName name="F_09_330" localSheetId="14">#REF!</definedName>
    <definedName name="F_09_330" localSheetId="15">#REF!</definedName>
    <definedName name="F_09_330" localSheetId="16">#REF!</definedName>
    <definedName name="F_09_330" localSheetId="17">#REF!</definedName>
    <definedName name="F_09_330" localSheetId="18">#REF!</definedName>
    <definedName name="F_09_330" localSheetId="20">#REF!</definedName>
    <definedName name="F_09_330" localSheetId="21">#REF!</definedName>
    <definedName name="F_09_330" localSheetId="7">#REF!</definedName>
    <definedName name="F_09_330" localSheetId="3">#REF!</definedName>
    <definedName name="F_09_330" localSheetId="11">#REF!</definedName>
    <definedName name="F_09_330">#REF!</definedName>
    <definedName name="F_09_360" localSheetId="13">#REF!</definedName>
    <definedName name="F_09_360" localSheetId="14">#REF!</definedName>
    <definedName name="F_09_360" localSheetId="15">#REF!</definedName>
    <definedName name="F_09_360" localSheetId="16">#REF!</definedName>
    <definedName name="F_09_360" localSheetId="17">#REF!</definedName>
    <definedName name="F_09_360" localSheetId="18">#REF!</definedName>
    <definedName name="F_09_360" localSheetId="20">#REF!</definedName>
    <definedName name="F_09_360" localSheetId="21">#REF!</definedName>
    <definedName name="F_09_360" localSheetId="7">#REF!</definedName>
    <definedName name="F_09_360" localSheetId="3">#REF!</definedName>
    <definedName name="F_09_360" localSheetId="11">#REF!</definedName>
    <definedName name="F_09_360">#REF!</definedName>
    <definedName name="F_09_390" localSheetId="13">#REF!</definedName>
    <definedName name="F_09_390" localSheetId="14">#REF!</definedName>
    <definedName name="F_09_390" localSheetId="15">#REF!</definedName>
    <definedName name="F_09_390" localSheetId="16">#REF!</definedName>
    <definedName name="F_09_390" localSheetId="17">#REF!</definedName>
    <definedName name="F_09_390" localSheetId="18">#REF!</definedName>
    <definedName name="F_09_390" localSheetId="20">#REF!</definedName>
    <definedName name="F_09_390" localSheetId="21">#REF!</definedName>
    <definedName name="F_09_390" localSheetId="7">#REF!</definedName>
    <definedName name="F_09_390" localSheetId="3">#REF!</definedName>
    <definedName name="F_09_390" localSheetId="11">#REF!</definedName>
    <definedName name="F_09_390">#REF!</definedName>
    <definedName name="F_09_420" localSheetId="13">#REF!</definedName>
    <definedName name="F_09_420" localSheetId="14">#REF!</definedName>
    <definedName name="F_09_420" localSheetId="15">#REF!</definedName>
    <definedName name="F_09_420" localSheetId="16">#REF!</definedName>
    <definedName name="F_09_420" localSheetId="17">#REF!</definedName>
    <definedName name="F_09_420" localSheetId="18">#REF!</definedName>
    <definedName name="F_09_420" localSheetId="20">#REF!</definedName>
    <definedName name="F_09_420" localSheetId="21">#REF!</definedName>
    <definedName name="F_09_420" localSheetId="7">#REF!</definedName>
    <definedName name="F_09_420" localSheetId="3">#REF!</definedName>
    <definedName name="F_09_420" localSheetId="11">#REF!</definedName>
    <definedName name="F_09_420">#REF!</definedName>
    <definedName name="F_09_450" localSheetId="13">#REF!</definedName>
    <definedName name="F_09_450" localSheetId="14">#REF!</definedName>
    <definedName name="F_09_450" localSheetId="15">#REF!</definedName>
    <definedName name="F_09_450" localSheetId="16">#REF!</definedName>
    <definedName name="F_09_450" localSheetId="17">#REF!</definedName>
    <definedName name="F_09_450" localSheetId="18">#REF!</definedName>
    <definedName name="F_09_450" localSheetId="20">#REF!</definedName>
    <definedName name="F_09_450" localSheetId="21">#REF!</definedName>
    <definedName name="F_09_450" localSheetId="7">#REF!</definedName>
    <definedName name="F_09_450" localSheetId="3">#REF!</definedName>
    <definedName name="F_09_450" localSheetId="11">#REF!</definedName>
    <definedName name="F_09_450">#REF!</definedName>
    <definedName name="F_09_480" localSheetId="13">#REF!</definedName>
    <definedName name="F_09_480" localSheetId="14">#REF!</definedName>
    <definedName name="F_09_480" localSheetId="15">#REF!</definedName>
    <definedName name="F_09_480" localSheetId="16">#REF!</definedName>
    <definedName name="F_09_480" localSheetId="17">#REF!</definedName>
    <definedName name="F_09_480" localSheetId="18">#REF!</definedName>
    <definedName name="F_09_480" localSheetId="20">#REF!</definedName>
    <definedName name="F_09_480" localSheetId="21">#REF!</definedName>
    <definedName name="F_09_480" localSheetId="7">#REF!</definedName>
    <definedName name="F_09_480" localSheetId="3">#REF!</definedName>
    <definedName name="F_09_480" localSheetId="11">#REF!</definedName>
    <definedName name="F_09_480">#REF!</definedName>
    <definedName name="F_09_510" localSheetId="13">#REF!</definedName>
    <definedName name="F_09_510" localSheetId="14">#REF!</definedName>
    <definedName name="F_09_510" localSheetId="15">#REF!</definedName>
    <definedName name="F_09_510" localSheetId="16">#REF!</definedName>
    <definedName name="F_09_510" localSheetId="17">#REF!</definedName>
    <definedName name="F_09_510" localSheetId="18">#REF!</definedName>
    <definedName name="F_09_510" localSheetId="20">#REF!</definedName>
    <definedName name="F_09_510" localSheetId="21">#REF!</definedName>
    <definedName name="F_09_510" localSheetId="7">#REF!</definedName>
    <definedName name="F_09_510" localSheetId="3">#REF!</definedName>
    <definedName name="F_09_510" localSheetId="11">#REF!</definedName>
    <definedName name="F_09_510">#REF!</definedName>
    <definedName name="F_09_540" localSheetId="13">#REF!</definedName>
    <definedName name="F_09_540" localSheetId="14">#REF!</definedName>
    <definedName name="F_09_540" localSheetId="15">#REF!</definedName>
    <definedName name="F_09_540" localSheetId="16">#REF!</definedName>
    <definedName name="F_09_540" localSheetId="17">#REF!</definedName>
    <definedName name="F_09_540" localSheetId="18">#REF!</definedName>
    <definedName name="F_09_540" localSheetId="20">#REF!</definedName>
    <definedName name="F_09_540" localSheetId="21">#REF!</definedName>
    <definedName name="F_09_540" localSheetId="7">#REF!</definedName>
    <definedName name="F_09_540" localSheetId="3">#REF!</definedName>
    <definedName name="F_09_540" localSheetId="11">#REF!</definedName>
    <definedName name="F_09_540">#REF!</definedName>
    <definedName name="F_09_570" localSheetId="13">#REF!</definedName>
    <definedName name="F_09_570" localSheetId="14">#REF!</definedName>
    <definedName name="F_09_570" localSheetId="15">#REF!</definedName>
    <definedName name="F_09_570" localSheetId="16">#REF!</definedName>
    <definedName name="F_09_570" localSheetId="17">#REF!</definedName>
    <definedName name="F_09_570" localSheetId="18">#REF!</definedName>
    <definedName name="F_09_570" localSheetId="20">#REF!</definedName>
    <definedName name="F_09_570" localSheetId="21">#REF!</definedName>
    <definedName name="F_09_570" localSheetId="7">#REF!</definedName>
    <definedName name="F_09_570" localSheetId="3">#REF!</definedName>
    <definedName name="F_09_570" localSheetId="11">#REF!</definedName>
    <definedName name="F_09_570">#REF!</definedName>
    <definedName name="F_09_60" localSheetId="13">#REF!</definedName>
    <definedName name="F_09_60" localSheetId="14">#REF!</definedName>
    <definedName name="F_09_60" localSheetId="15">#REF!</definedName>
    <definedName name="F_09_60" localSheetId="16">#REF!</definedName>
    <definedName name="F_09_60" localSheetId="17">#REF!</definedName>
    <definedName name="F_09_60" localSheetId="18">#REF!</definedName>
    <definedName name="F_09_60" localSheetId="20">#REF!</definedName>
    <definedName name="F_09_60" localSheetId="21">#REF!</definedName>
    <definedName name="F_09_60" localSheetId="7">#REF!</definedName>
    <definedName name="F_09_60" localSheetId="3">#REF!</definedName>
    <definedName name="F_09_60" localSheetId="11">#REF!</definedName>
    <definedName name="F_09_60">#REF!</definedName>
    <definedName name="F_09_600" localSheetId="13">#REF!</definedName>
    <definedName name="F_09_600" localSheetId="14">#REF!</definedName>
    <definedName name="F_09_600" localSheetId="15">#REF!</definedName>
    <definedName name="F_09_600" localSheetId="16">#REF!</definedName>
    <definedName name="F_09_600" localSheetId="17">#REF!</definedName>
    <definedName name="F_09_600" localSheetId="18">#REF!</definedName>
    <definedName name="F_09_600" localSheetId="20">#REF!</definedName>
    <definedName name="F_09_600" localSheetId="21">#REF!</definedName>
    <definedName name="F_09_600" localSheetId="7">#REF!</definedName>
    <definedName name="F_09_600" localSheetId="3">#REF!</definedName>
    <definedName name="F_09_600" localSheetId="11">#REF!</definedName>
    <definedName name="F_09_600">#REF!</definedName>
    <definedName name="F_09_630" localSheetId="13">#REF!</definedName>
    <definedName name="F_09_630" localSheetId="14">#REF!</definedName>
    <definedName name="F_09_630" localSheetId="15">#REF!</definedName>
    <definedName name="F_09_630" localSheetId="16">#REF!</definedName>
    <definedName name="F_09_630" localSheetId="17">#REF!</definedName>
    <definedName name="F_09_630" localSheetId="18">#REF!</definedName>
    <definedName name="F_09_630" localSheetId="20">#REF!</definedName>
    <definedName name="F_09_630" localSheetId="21">#REF!</definedName>
    <definedName name="F_09_630" localSheetId="7">#REF!</definedName>
    <definedName name="F_09_630" localSheetId="3">#REF!</definedName>
    <definedName name="F_09_630" localSheetId="11">#REF!</definedName>
    <definedName name="F_09_630">#REF!</definedName>
    <definedName name="F_09_660" localSheetId="13">#REF!</definedName>
    <definedName name="F_09_660" localSheetId="14">#REF!</definedName>
    <definedName name="F_09_660" localSheetId="15">#REF!</definedName>
    <definedName name="F_09_660" localSheetId="16">#REF!</definedName>
    <definedName name="F_09_660" localSheetId="17">#REF!</definedName>
    <definedName name="F_09_660" localSheetId="18">#REF!</definedName>
    <definedName name="F_09_660" localSheetId="20">#REF!</definedName>
    <definedName name="F_09_660" localSheetId="21">#REF!</definedName>
    <definedName name="F_09_660" localSheetId="7">#REF!</definedName>
    <definedName name="F_09_660" localSheetId="3">#REF!</definedName>
    <definedName name="F_09_660" localSheetId="11">#REF!</definedName>
    <definedName name="F_09_660">#REF!</definedName>
    <definedName name="F_09_690" localSheetId="13">#REF!</definedName>
    <definedName name="F_09_690" localSheetId="14">#REF!</definedName>
    <definedName name="F_09_690" localSheetId="15">#REF!</definedName>
    <definedName name="F_09_690" localSheetId="16">#REF!</definedName>
    <definedName name="F_09_690" localSheetId="17">#REF!</definedName>
    <definedName name="F_09_690" localSheetId="18">#REF!</definedName>
    <definedName name="F_09_690" localSheetId="20">#REF!</definedName>
    <definedName name="F_09_690" localSheetId="21">#REF!</definedName>
    <definedName name="F_09_690" localSheetId="7">#REF!</definedName>
    <definedName name="F_09_690" localSheetId="3">#REF!</definedName>
    <definedName name="F_09_690" localSheetId="11">#REF!</definedName>
    <definedName name="F_09_690">#REF!</definedName>
    <definedName name="F_09_720" localSheetId="13">#REF!</definedName>
    <definedName name="F_09_720" localSheetId="14">#REF!</definedName>
    <definedName name="F_09_720" localSheetId="15">#REF!</definedName>
    <definedName name="F_09_720" localSheetId="16">#REF!</definedName>
    <definedName name="F_09_720" localSheetId="17">#REF!</definedName>
    <definedName name="F_09_720" localSheetId="18">#REF!</definedName>
    <definedName name="F_09_720" localSheetId="20">#REF!</definedName>
    <definedName name="F_09_720" localSheetId="21">#REF!</definedName>
    <definedName name="F_09_720" localSheetId="7">#REF!</definedName>
    <definedName name="F_09_720" localSheetId="3">#REF!</definedName>
    <definedName name="F_09_720" localSheetId="11">#REF!</definedName>
    <definedName name="F_09_720">#REF!</definedName>
    <definedName name="F_09_90" localSheetId="13">#REF!</definedName>
    <definedName name="F_09_90" localSheetId="14">#REF!</definedName>
    <definedName name="F_09_90" localSheetId="15">#REF!</definedName>
    <definedName name="F_09_90" localSheetId="16">#REF!</definedName>
    <definedName name="F_09_90" localSheetId="17">#REF!</definedName>
    <definedName name="F_09_90" localSheetId="18">#REF!</definedName>
    <definedName name="F_09_90" localSheetId="20">#REF!</definedName>
    <definedName name="F_09_90" localSheetId="21">#REF!</definedName>
    <definedName name="F_09_90" localSheetId="7">#REF!</definedName>
    <definedName name="F_09_90" localSheetId="3">#REF!</definedName>
    <definedName name="F_09_90" localSheetId="11">#REF!</definedName>
    <definedName name="F_09_90">#REF!</definedName>
    <definedName name="F_10_120" localSheetId="13">#REF!</definedName>
    <definedName name="F_10_120" localSheetId="14">#REF!</definedName>
    <definedName name="F_10_120" localSheetId="15">#REF!</definedName>
    <definedName name="F_10_120" localSheetId="16">#REF!</definedName>
    <definedName name="F_10_120" localSheetId="17">#REF!</definedName>
    <definedName name="F_10_120" localSheetId="18">#REF!</definedName>
    <definedName name="F_10_120" localSheetId="20">#REF!</definedName>
    <definedName name="F_10_120" localSheetId="21">#REF!</definedName>
    <definedName name="F_10_120" localSheetId="7">#REF!</definedName>
    <definedName name="F_10_120" localSheetId="3">#REF!</definedName>
    <definedName name="F_10_120" localSheetId="11">#REF!</definedName>
    <definedName name="F_10_120">#REF!</definedName>
    <definedName name="F_10_150" localSheetId="13">#REF!</definedName>
    <definedName name="F_10_150" localSheetId="14">#REF!</definedName>
    <definedName name="F_10_150" localSheetId="15">#REF!</definedName>
    <definedName name="F_10_150" localSheetId="16">#REF!</definedName>
    <definedName name="F_10_150" localSheetId="17">#REF!</definedName>
    <definedName name="F_10_150" localSheetId="18">#REF!</definedName>
    <definedName name="F_10_150" localSheetId="20">#REF!</definedName>
    <definedName name="F_10_150" localSheetId="21">#REF!</definedName>
    <definedName name="F_10_150" localSheetId="7">#REF!</definedName>
    <definedName name="F_10_150" localSheetId="3">#REF!</definedName>
    <definedName name="F_10_150" localSheetId="11">#REF!</definedName>
    <definedName name="F_10_150">#REF!</definedName>
    <definedName name="F_10_180" localSheetId="13">#REF!</definedName>
    <definedName name="F_10_180" localSheetId="14">#REF!</definedName>
    <definedName name="F_10_180" localSheetId="15">#REF!</definedName>
    <definedName name="F_10_180" localSheetId="16">#REF!</definedName>
    <definedName name="F_10_180" localSheetId="17">#REF!</definedName>
    <definedName name="F_10_180" localSheetId="18">#REF!</definedName>
    <definedName name="F_10_180" localSheetId="20">#REF!</definedName>
    <definedName name="F_10_180" localSheetId="21">#REF!</definedName>
    <definedName name="F_10_180" localSheetId="7">#REF!</definedName>
    <definedName name="F_10_180" localSheetId="3">#REF!</definedName>
    <definedName name="F_10_180" localSheetId="11">#REF!</definedName>
    <definedName name="F_10_180">#REF!</definedName>
    <definedName name="F_10_210" localSheetId="13">#REF!</definedName>
    <definedName name="F_10_210" localSheetId="14">#REF!</definedName>
    <definedName name="F_10_210" localSheetId="15">#REF!</definedName>
    <definedName name="F_10_210" localSheetId="16">#REF!</definedName>
    <definedName name="F_10_210" localSheetId="17">#REF!</definedName>
    <definedName name="F_10_210" localSheetId="18">#REF!</definedName>
    <definedName name="F_10_210" localSheetId="20">#REF!</definedName>
    <definedName name="F_10_210" localSheetId="21">#REF!</definedName>
    <definedName name="F_10_210" localSheetId="7">#REF!</definedName>
    <definedName name="F_10_210" localSheetId="3">#REF!</definedName>
    <definedName name="F_10_210" localSheetId="11">#REF!</definedName>
    <definedName name="F_10_210">#REF!</definedName>
    <definedName name="F_10_240" localSheetId="13">#REF!</definedName>
    <definedName name="F_10_240" localSheetId="14">#REF!</definedName>
    <definedName name="F_10_240" localSheetId="15">#REF!</definedName>
    <definedName name="F_10_240" localSheetId="16">#REF!</definedName>
    <definedName name="F_10_240" localSheetId="17">#REF!</definedName>
    <definedName name="F_10_240" localSheetId="18">#REF!</definedName>
    <definedName name="F_10_240" localSheetId="20">#REF!</definedName>
    <definedName name="F_10_240" localSheetId="21">#REF!</definedName>
    <definedName name="F_10_240" localSheetId="7">#REF!</definedName>
    <definedName name="F_10_240" localSheetId="3">#REF!</definedName>
    <definedName name="F_10_240" localSheetId="11">#REF!</definedName>
    <definedName name="F_10_240">#REF!</definedName>
    <definedName name="F_10_270" localSheetId="13">#REF!</definedName>
    <definedName name="F_10_270" localSheetId="14">#REF!</definedName>
    <definedName name="F_10_270" localSheetId="15">#REF!</definedName>
    <definedName name="F_10_270" localSheetId="16">#REF!</definedName>
    <definedName name="F_10_270" localSheetId="17">#REF!</definedName>
    <definedName name="F_10_270" localSheetId="18">#REF!</definedName>
    <definedName name="F_10_270" localSheetId="20">#REF!</definedName>
    <definedName name="F_10_270" localSheetId="21">#REF!</definedName>
    <definedName name="F_10_270" localSheetId="7">#REF!</definedName>
    <definedName name="F_10_270" localSheetId="3">#REF!</definedName>
    <definedName name="F_10_270" localSheetId="11">#REF!</definedName>
    <definedName name="F_10_270">#REF!</definedName>
    <definedName name="F_10_30" localSheetId="13">#REF!</definedName>
    <definedName name="F_10_30" localSheetId="14">#REF!</definedName>
    <definedName name="F_10_30" localSheetId="15">#REF!</definedName>
    <definedName name="F_10_30" localSheetId="16">#REF!</definedName>
    <definedName name="F_10_30" localSheetId="17">#REF!</definedName>
    <definedName name="F_10_30" localSheetId="18">#REF!</definedName>
    <definedName name="F_10_30" localSheetId="20">#REF!</definedName>
    <definedName name="F_10_30" localSheetId="21">#REF!</definedName>
    <definedName name="F_10_30" localSheetId="7">#REF!</definedName>
    <definedName name="F_10_30" localSheetId="3">#REF!</definedName>
    <definedName name="F_10_30" localSheetId="11">#REF!</definedName>
    <definedName name="F_10_30">#REF!</definedName>
    <definedName name="F_10_300" localSheetId="13">#REF!</definedName>
    <definedName name="F_10_300" localSheetId="14">#REF!</definedName>
    <definedName name="F_10_300" localSheetId="15">#REF!</definedName>
    <definedName name="F_10_300" localSheetId="16">#REF!</definedName>
    <definedName name="F_10_300" localSheetId="17">#REF!</definedName>
    <definedName name="F_10_300" localSheetId="18">#REF!</definedName>
    <definedName name="F_10_300" localSheetId="20">#REF!</definedName>
    <definedName name="F_10_300" localSheetId="21">#REF!</definedName>
    <definedName name="F_10_300" localSheetId="7">#REF!</definedName>
    <definedName name="F_10_300" localSheetId="3">#REF!</definedName>
    <definedName name="F_10_300" localSheetId="11">#REF!</definedName>
    <definedName name="F_10_300">#REF!</definedName>
    <definedName name="F_10_330" localSheetId="13">#REF!</definedName>
    <definedName name="F_10_330" localSheetId="14">#REF!</definedName>
    <definedName name="F_10_330" localSheetId="15">#REF!</definedName>
    <definedName name="F_10_330" localSheetId="16">#REF!</definedName>
    <definedName name="F_10_330" localSheetId="17">#REF!</definedName>
    <definedName name="F_10_330" localSheetId="18">#REF!</definedName>
    <definedName name="F_10_330" localSheetId="20">#REF!</definedName>
    <definedName name="F_10_330" localSheetId="21">#REF!</definedName>
    <definedName name="F_10_330" localSheetId="7">#REF!</definedName>
    <definedName name="F_10_330" localSheetId="3">#REF!</definedName>
    <definedName name="F_10_330" localSheetId="11">#REF!</definedName>
    <definedName name="F_10_330">#REF!</definedName>
    <definedName name="F_10_360" localSheetId="13">#REF!</definedName>
    <definedName name="F_10_360" localSheetId="14">#REF!</definedName>
    <definedName name="F_10_360" localSheetId="15">#REF!</definedName>
    <definedName name="F_10_360" localSheetId="16">#REF!</definedName>
    <definedName name="F_10_360" localSheetId="17">#REF!</definedName>
    <definedName name="F_10_360" localSheetId="18">#REF!</definedName>
    <definedName name="F_10_360" localSheetId="20">#REF!</definedName>
    <definedName name="F_10_360" localSheetId="21">#REF!</definedName>
    <definedName name="F_10_360" localSheetId="7">#REF!</definedName>
    <definedName name="F_10_360" localSheetId="3">#REF!</definedName>
    <definedName name="F_10_360" localSheetId="11">#REF!</definedName>
    <definedName name="F_10_360">#REF!</definedName>
    <definedName name="F_10_390" localSheetId="13">#REF!</definedName>
    <definedName name="F_10_390" localSheetId="14">#REF!</definedName>
    <definedName name="F_10_390" localSheetId="15">#REF!</definedName>
    <definedName name="F_10_390" localSheetId="16">#REF!</definedName>
    <definedName name="F_10_390" localSheetId="17">#REF!</definedName>
    <definedName name="F_10_390" localSheetId="18">#REF!</definedName>
    <definedName name="F_10_390" localSheetId="20">#REF!</definedName>
    <definedName name="F_10_390" localSheetId="21">#REF!</definedName>
    <definedName name="F_10_390" localSheetId="7">#REF!</definedName>
    <definedName name="F_10_390" localSheetId="3">#REF!</definedName>
    <definedName name="F_10_390" localSheetId="11">#REF!</definedName>
    <definedName name="F_10_390">#REF!</definedName>
    <definedName name="F_10_420" localSheetId="13">#REF!</definedName>
    <definedName name="F_10_420" localSheetId="14">#REF!</definedName>
    <definedName name="F_10_420" localSheetId="15">#REF!</definedName>
    <definedName name="F_10_420" localSheetId="16">#REF!</definedName>
    <definedName name="F_10_420" localSheetId="17">#REF!</definedName>
    <definedName name="F_10_420" localSheetId="18">#REF!</definedName>
    <definedName name="F_10_420" localSheetId="20">#REF!</definedName>
    <definedName name="F_10_420" localSheetId="21">#REF!</definedName>
    <definedName name="F_10_420" localSheetId="7">#REF!</definedName>
    <definedName name="F_10_420" localSheetId="3">#REF!</definedName>
    <definedName name="F_10_420" localSheetId="11">#REF!</definedName>
    <definedName name="F_10_420">#REF!</definedName>
    <definedName name="F_10_450" localSheetId="13">#REF!</definedName>
    <definedName name="F_10_450" localSheetId="14">#REF!</definedName>
    <definedName name="F_10_450" localSheetId="15">#REF!</definedName>
    <definedName name="F_10_450" localSheetId="16">#REF!</definedName>
    <definedName name="F_10_450" localSheetId="17">#REF!</definedName>
    <definedName name="F_10_450" localSheetId="18">#REF!</definedName>
    <definedName name="F_10_450" localSheetId="20">#REF!</definedName>
    <definedName name="F_10_450" localSheetId="21">#REF!</definedName>
    <definedName name="F_10_450" localSheetId="7">#REF!</definedName>
    <definedName name="F_10_450" localSheetId="3">#REF!</definedName>
    <definedName name="F_10_450" localSheetId="11">#REF!</definedName>
    <definedName name="F_10_450">#REF!</definedName>
    <definedName name="F_10_480" localSheetId="13">#REF!</definedName>
    <definedName name="F_10_480" localSheetId="14">#REF!</definedName>
    <definedName name="F_10_480" localSheetId="15">#REF!</definedName>
    <definedName name="F_10_480" localSheetId="16">#REF!</definedName>
    <definedName name="F_10_480" localSheetId="17">#REF!</definedName>
    <definedName name="F_10_480" localSheetId="18">#REF!</definedName>
    <definedName name="F_10_480" localSheetId="20">#REF!</definedName>
    <definedName name="F_10_480" localSheetId="21">#REF!</definedName>
    <definedName name="F_10_480" localSheetId="7">#REF!</definedName>
    <definedName name="F_10_480" localSheetId="3">#REF!</definedName>
    <definedName name="F_10_480" localSheetId="11">#REF!</definedName>
    <definedName name="F_10_480">#REF!</definedName>
    <definedName name="F_10_510" localSheetId="13">#REF!</definedName>
    <definedName name="F_10_510" localSheetId="14">#REF!</definedName>
    <definedName name="F_10_510" localSheetId="15">#REF!</definedName>
    <definedName name="F_10_510" localSheetId="16">#REF!</definedName>
    <definedName name="F_10_510" localSheetId="17">#REF!</definedName>
    <definedName name="F_10_510" localSheetId="18">#REF!</definedName>
    <definedName name="F_10_510" localSheetId="20">#REF!</definedName>
    <definedName name="F_10_510" localSheetId="21">#REF!</definedName>
    <definedName name="F_10_510" localSheetId="7">#REF!</definedName>
    <definedName name="F_10_510" localSheetId="3">#REF!</definedName>
    <definedName name="F_10_510" localSheetId="11">#REF!</definedName>
    <definedName name="F_10_510">#REF!</definedName>
    <definedName name="F_10_540" localSheetId="13">#REF!</definedName>
    <definedName name="F_10_540" localSheetId="14">#REF!</definedName>
    <definedName name="F_10_540" localSheetId="15">#REF!</definedName>
    <definedName name="F_10_540" localSheetId="16">#REF!</definedName>
    <definedName name="F_10_540" localSheetId="17">#REF!</definedName>
    <definedName name="F_10_540" localSheetId="18">#REF!</definedName>
    <definedName name="F_10_540" localSheetId="20">#REF!</definedName>
    <definedName name="F_10_540" localSheetId="21">#REF!</definedName>
    <definedName name="F_10_540" localSheetId="7">#REF!</definedName>
    <definedName name="F_10_540" localSheetId="3">#REF!</definedName>
    <definedName name="F_10_540" localSheetId="11">#REF!</definedName>
    <definedName name="F_10_540">#REF!</definedName>
    <definedName name="F_10_570" localSheetId="13">#REF!</definedName>
    <definedName name="F_10_570" localSheetId="14">#REF!</definedName>
    <definedName name="F_10_570" localSheetId="15">#REF!</definedName>
    <definedName name="F_10_570" localSheetId="16">#REF!</definedName>
    <definedName name="F_10_570" localSheetId="17">#REF!</definedName>
    <definedName name="F_10_570" localSheetId="18">#REF!</definedName>
    <definedName name="F_10_570" localSheetId="20">#REF!</definedName>
    <definedName name="F_10_570" localSheetId="21">#REF!</definedName>
    <definedName name="F_10_570" localSheetId="7">#REF!</definedName>
    <definedName name="F_10_570" localSheetId="3">#REF!</definedName>
    <definedName name="F_10_570" localSheetId="11">#REF!</definedName>
    <definedName name="F_10_570">#REF!</definedName>
    <definedName name="F_10_60" localSheetId="13">#REF!</definedName>
    <definedName name="F_10_60" localSheetId="14">#REF!</definedName>
    <definedName name="F_10_60" localSheetId="15">#REF!</definedName>
    <definedName name="F_10_60" localSheetId="16">#REF!</definedName>
    <definedName name="F_10_60" localSheetId="17">#REF!</definedName>
    <definedName name="F_10_60" localSheetId="18">#REF!</definedName>
    <definedName name="F_10_60" localSheetId="20">#REF!</definedName>
    <definedName name="F_10_60" localSheetId="21">#REF!</definedName>
    <definedName name="F_10_60" localSheetId="7">#REF!</definedName>
    <definedName name="F_10_60" localSheetId="3">#REF!</definedName>
    <definedName name="F_10_60" localSheetId="11">#REF!</definedName>
    <definedName name="F_10_60">#REF!</definedName>
    <definedName name="F_10_600" localSheetId="13">#REF!</definedName>
    <definedName name="F_10_600" localSheetId="14">#REF!</definedName>
    <definedName name="F_10_600" localSheetId="15">#REF!</definedName>
    <definedName name="F_10_600" localSheetId="16">#REF!</definedName>
    <definedName name="F_10_600" localSheetId="17">#REF!</definedName>
    <definedName name="F_10_600" localSheetId="18">#REF!</definedName>
    <definedName name="F_10_600" localSheetId="20">#REF!</definedName>
    <definedName name="F_10_600" localSheetId="21">#REF!</definedName>
    <definedName name="F_10_600" localSheetId="7">#REF!</definedName>
    <definedName name="F_10_600" localSheetId="3">#REF!</definedName>
    <definedName name="F_10_600" localSheetId="11">#REF!</definedName>
    <definedName name="F_10_600">#REF!</definedName>
    <definedName name="F_10_630" localSheetId="13">#REF!</definedName>
    <definedName name="F_10_630" localSheetId="14">#REF!</definedName>
    <definedName name="F_10_630" localSheetId="15">#REF!</definedName>
    <definedName name="F_10_630" localSheetId="16">#REF!</definedName>
    <definedName name="F_10_630" localSheetId="17">#REF!</definedName>
    <definedName name="F_10_630" localSheetId="18">#REF!</definedName>
    <definedName name="F_10_630" localSheetId="20">#REF!</definedName>
    <definedName name="F_10_630" localSheetId="21">#REF!</definedName>
    <definedName name="F_10_630" localSheetId="7">#REF!</definedName>
    <definedName name="F_10_630" localSheetId="3">#REF!</definedName>
    <definedName name="F_10_630" localSheetId="11">#REF!</definedName>
    <definedName name="F_10_630">#REF!</definedName>
    <definedName name="F_10_660" localSheetId="13">#REF!</definedName>
    <definedName name="F_10_660" localSheetId="14">#REF!</definedName>
    <definedName name="F_10_660" localSheetId="15">#REF!</definedName>
    <definedName name="F_10_660" localSheetId="16">#REF!</definedName>
    <definedName name="F_10_660" localSheetId="17">#REF!</definedName>
    <definedName name="F_10_660" localSheetId="18">#REF!</definedName>
    <definedName name="F_10_660" localSheetId="20">#REF!</definedName>
    <definedName name="F_10_660" localSheetId="21">#REF!</definedName>
    <definedName name="F_10_660" localSheetId="7">#REF!</definedName>
    <definedName name="F_10_660" localSheetId="3">#REF!</definedName>
    <definedName name="F_10_660" localSheetId="11">#REF!</definedName>
    <definedName name="F_10_660">#REF!</definedName>
    <definedName name="F_10_690" localSheetId="13">#REF!</definedName>
    <definedName name="F_10_690" localSheetId="14">#REF!</definedName>
    <definedName name="F_10_690" localSheetId="15">#REF!</definedName>
    <definedName name="F_10_690" localSheetId="16">#REF!</definedName>
    <definedName name="F_10_690" localSheetId="17">#REF!</definedName>
    <definedName name="F_10_690" localSheetId="18">#REF!</definedName>
    <definedName name="F_10_690" localSheetId="20">#REF!</definedName>
    <definedName name="F_10_690" localSheetId="21">#REF!</definedName>
    <definedName name="F_10_690" localSheetId="7">#REF!</definedName>
    <definedName name="F_10_690" localSheetId="3">#REF!</definedName>
    <definedName name="F_10_690" localSheetId="11">#REF!</definedName>
    <definedName name="F_10_690">#REF!</definedName>
    <definedName name="F_10_720" localSheetId="13">#REF!</definedName>
    <definedName name="F_10_720" localSheetId="14">#REF!</definedName>
    <definedName name="F_10_720" localSheetId="15">#REF!</definedName>
    <definedName name="F_10_720" localSheetId="16">#REF!</definedName>
    <definedName name="F_10_720" localSheetId="17">#REF!</definedName>
    <definedName name="F_10_720" localSheetId="18">#REF!</definedName>
    <definedName name="F_10_720" localSheetId="20">#REF!</definedName>
    <definedName name="F_10_720" localSheetId="21">#REF!</definedName>
    <definedName name="F_10_720" localSheetId="7">#REF!</definedName>
    <definedName name="F_10_720" localSheetId="3">#REF!</definedName>
    <definedName name="F_10_720" localSheetId="11">#REF!</definedName>
    <definedName name="F_10_720">#REF!</definedName>
    <definedName name="F_10_90" localSheetId="13">#REF!</definedName>
    <definedName name="F_10_90" localSheetId="14">#REF!</definedName>
    <definedName name="F_10_90" localSheetId="15">#REF!</definedName>
    <definedName name="F_10_90" localSheetId="16">#REF!</definedName>
    <definedName name="F_10_90" localSheetId="17">#REF!</definedName>
    <definedName name="F_10_90" localSheetId="18">#REF!</definedName>
    <definedName name="F_10_90" localSheetId="20">#REF!</definedName>
    <definedName name="F_10_90" localSheetId="21">#REF!</definedName>
    <definedName name="F_10_90" localSheetId="7">#REF!</definedName>
    <definedName name="F_10_90" localSheetId="3">#REF!</definedName>
    <definedName name="F_10_90" localSheetId="11">#REF!</definedName>
    <definedName name="F_10_90">#REF!</definedName>
    <definedName name="F_11_120" localSheetId="13">#REF!</definedName>
    <definedName name="F_11_120" localSheetId="14">#REF!</definedName>
    <definedName name="F_11_120" localSheetId="15">#REF!</definedName>
    <definedName name="F_11_120" localSheetId="16">#REF!</definedName>
    <definedName name="F_11_120" localSheetId="17">#REF!</definedName>
    <definedName name="F_11_120" localSheetId="18">#REF!</definedName>
    <definedName name="F_11_120" localSheetId="20">#REF!</definedName>
    <definedName name="F_11_120" localSheetId="21">#REF!</definedName>
    <definedName name="F_11_120" localSheetId="7">#REF!</definedName>
    <definedName name="F_11_120" localSheetId="3">#REF!</definedName>
    <definedName name="F_11_120" localSheetId="11">#REF!</definedName>
    <definedName name="F_11_120">#REF!</definedName>
    <definedName name="F_11_150" localSheetId="13">#REF!</definedName>
    <definedName name="F_11_150" localSheetId="14">#REF!</definedName>
    <definedName name="F_11_150" localSheetId="15">#REF!</definedName>
    <definedName name="F_11_150" localSheetId="16">#REF!</definedName>
    <definedName name="F_11_150" localSheetId="17">#REF!</definedName>
    <definedName name="F_11_150" localSheetId="18">#REF!</definedName>
    <definedName name="F_11_150" localSheetId="20">#REF!</definedName>
    <definedName name="F_11_150" localSheetId="21">#REF!</definedName>
    <definedName name="F_11_150" localSheetId="7">#REF!</definedName>
    <definedName name="F_11_150" localSheetId="3">#REF!</definedName>
    <definedName name="F_11_150" localSheetId="11">#REF!</definedName>
    <definedName name="F_11_150">#REF!</definedName>
    <definedName name="F_11_180" localSheetId="13">#REF!</definedName>
    <definedName name="F_11_180" localSheetId="14">#REF!</definedName>
    <definedName name="F_11_180" localSheetId="15">#REF!</definedName>
    <definedName name="F_11_180" localSheetId="16">#REF!</definedName>
    <definedName name="F_11_180" localSheetId="17">#REF!</definedName>
    <definedName name="F_11_180" localSheetId="18">#REF!</definedName>
    <definedName name="F_11_180" localSheetId="20">#REF!</definedName>
    <definedName name="F_11_180" localSheetId="21">#REF!</definedName>
    <definedName name="F_11_180" localSheetId="7">#REF!</definedName>
    <definedName name="F_11_180" localSheetId="3">#REF!</definedName>
    <definedName name="F_11_180" localSheetId="11">#REF!</definedName>
    <definedName name="F_11_180">#REF!</definedName>
    <definedName name="F_11_210" localSheetId="13">#REF!</definedName>
    <definedName name="F_11_210" localSheetId="14">#REF!</definedName>
    <definedName name="F_11_210" localSheetId="15">#REF!</definedName>
    <definedName name="F_11_210" localSheetId="16">#REF!</definedName>
    <definedName name="F_11_210" localSheetId="17">#REF!</definedName>
    <definedName name="F_11_210" localSheetId="18">#REF!</definedName>
    <definedName name="F_11_210" localSheetId="20">#REF!</definedName>
    <definedName name="F_11_210" localSheetId="21">#REF!</definedName>
    <definedName name="F_11_210" localSheetId="7">#REF!</definedName>
    <definedName name="F_11_210" localSheetId="3">#REF!</definedName>
    <definedName name="F_11_210" localSheetId="11">#REF!</definedName>
    <definedName name="F_11_210">#REF!</definedName>
    <definedName name="F_11_240" localSheetId="13">#REF!</definedName>
    <definedName name="F_11_240" localSheetId="14">#REF!</definedName>
    <definedName name="F_11_240" localSheetId="15">#REF!</definedName>
    <definedName name="F_11_240" localSheetId="16">#REF!</definedName>
    <definedName name="F_11_240" localSheetId="17">#REF!</definedName>
    <definedName name="F_11_240" localSheetId="18">#REF!</definedName>
    <definedName name="F_11_240" localSheetId="20">#REF!</definedName>
    <definedName name="F_11_240" localSheetId="21">#REF!</definedName>
    <definedName name="F_11_240" localSheetId="7">#REF!</definedName>
    <definedName name="F_11_240" localSheetId="3">#REF!</definedName>
    <definedName name="F_11_240" localSheetId="11">#REF!</definedName>
    <definedName name="F_11_240">#REF!</definedName>
    <definedName name="F_11_270" localSheetId="13">#REF!</definedName>
    <definedName name="F_11_270" localSheetId="14">#REF!</definedName>
    <definedName name="F_11_270" localSheetId="15">#REF!</definedName>
    <definedName name="F_11_270" localSheetId="16">#REF!</definedName>
    <definedName name="F_11_270" localSheetId="17">#REF!</definedName>
    <definedName name="F_11_270" localSheetId="18">#REF!</definedName>
    <definedName name="F_11_270" localSheetId="20">#REF!</definedName>
    <definedName name="F_11_270" localSheetId="21">#REF!</definedName>
    <definedName name="F_11_270" localSheetId="7">#REF!</definedName>
    <definedName name="F_11_270" localSheetId="3">#REF!</definedName>
    <definedName name="F_11_270" localSheetId="11">#REF!</definedName>
    <definedName name="F_11_270">#REF!</definedName>
    <definedName name="F_11_30" localSheetId="13">#REF!</definedName>
    <definedName name="F_11_30" localSheetId="14">#REF!</definedName>
    <definedName name="F_11_30" localSheetId="15">#REF!</definedName>
    <definedName name="F_11_30" localSheetId="16">#REF!</definedName>
    <definedName name="F_11_30" localSheetId="17">#REF!</definedName>
    <definedName name="F_11_30" localSheetId="18">#REF!</definedName>
    <definedName name="F_11_30" localSheetId="20">#REF!</definedName>
    <definedName name="F_11_30" localSheetId="21">#REF!</definedName>
    <definedName name="F_11_30" localSheetId="7">#REF!</definedName>
    <definedName name="F_11_30" localSheetId="3">#REF!</definedName>
    <definedName name="F_11_30" localSheetId="11">#REF!</definedName>
    <definedName name="F_11_30">#REF!</definedName>
    <definedName name="F_11_300" localSheetId="13">#REF!</definedName>
    <definedName name="F_11_300" localSheetId="14">#REF!</definedName>
    <definedName name="F_11_300" localSheetId="15">#REF!</definedName>
    <definedName name="F_11_300" localSheetId="16">#REF!</definedName>
    <definedName name="F_11_300" localSheetId="17">#REF!</definedName>
    <definedName name="F_11_300" localSheetId="18">#REF!</definedName>
    <definedName name="F_11_300" localSheetId="20">#REF!</definedName>
    <definedName name="F_11_300" localSheetId="21">#REF!</definedName>
    <definedName name="F_11_300" localSheetId="7">#REF!</definedName>
    <definedName name="F_11_300" localSheetId="3">#REF!</definedName>
    <definedName name="F_11_300" localSheetId="11">#REF!</definedName>
    <definedName name="F_11_300">#REF!</definedName>
    <definedName name="F_11_330" localSheetId="13">#REF!</definedName>
    <definedName name="F_11_330" localSheetId="14">#REF!</definedName>
    <definedName name="F_11_330" localSheetId="15">#REF!</definedName>
    <definedName name="F_11_330" localSheetId="16">#REF!</definedName>
    <definedName name="F_11_330" localSheetId="17">#REF!</definedName>
    <definedName name="F_11_330" localSheetId="18">#REF!</definedName>
    <definedName name="F_11_330" localSheetId="20">#REF!</definedName>
    <definedName name="F_11_330" localSheetId="21">#REF!</definedName>
    <definedName name="F_11_330" localSheetId="7">#REF!</definedName>
    <definedName name="F_11_330" localSheetId="3">#REF!</definedName>
    <definedName name="F_11_330" localSheetId="11">#REF!</definedName>
    <definedName name="F_11_330">#REF!</definedName>
    <definedName name="F_11_360" localSheetId="13">#REF!</definedName>
    <definedName name="F_11_360" localSheetId="14">#REF!</definedName>
    <definedName name="F_11_360" localSheetId="15">#REF!</definedName>
    <definedName name="F_11_360" localSheetId="16">#REF!</definedName>
    <definedName name="F_11_360" localSheetId="17">#REF!</definedName>
    <definedName name="F_11_360" localSheetId="18">#REF!</definedName>
    <definedName name="F_11_360" localSheetId="20">#REF!</definedName>
    <definedName name="F_11_360" localSheetId="21">#REF!</definedName>
    <definedName name="F_11_360" localSheetId="7">#REF!</definedName>
    <definedName name="F_11_360" localSheetId="3">#REF!</definedName>
    <definedName name="F_11_360" localSheetId="11">#REF!</definedName>
    <definedName name="F_11_360">#REF!</definedName>
    <definedName name="F_11_390" localSheetId="13">#REF!</definedName>
    <definedName name="F_11_390" localSheetId="14">#REF!</definedName>
    <definedName name="F_11_390" localSheetId="15">#REF!</definedName>
    <definedName name="F_11_390" localSheetId="16">#REF!</definedName>
    <definedName name="F_11_390" localSheetId="17">#REF!</definedName>
    <definedName name="F_11_390" localSheetId="18">#REF!</definedName>
    <definedName name="F_11_390" localSheetId="20">#REF!</definedName>
    <definedName name="F_11_390" localSheetId="21">#REF!</definedName>
    <definedName name="F_11_390" localSheetId="7">#REF!</definedName>
    <definedName name="F_11_390" localSheetId="3">#REF!</definedName>
    <definedName name="F_11_390" localSheetId="11">#REF!</definedName>
    <definedName name="F_11_390">#REF!</definedName>
    <definedName name="F_11_420" localSheetId="13">#REF!</definedName>
    <definedName name="F_11_420" localSheetId="14">#REF!</definedName>
    <definedName name="F_11_420" localSheetId="15">#REF!</definedName>
    <definedName name="F_11_420" localSheetId="16">#REF!</definedName>
    <definedName name="F_11_420" localSheetId="17">#REF!</definedName>
    <definedName name="F_11_420" localSheetId="18">#REF!</definedName>
    <definedName name="F_11_420" localSheetId="20">#REF!</definedName>
    <definedName name="F_11_420" localSheetId="21">#REF!</definedName>
    <definedName name="F_11_420" localSheetId="7">#REF!</definedName>
    <definedName name="F_11_420" localSheetId="3">#REF!</definedName>
    <definedName name="F_11_420" localSheetId="11">#REF!</definedName>
    <definedName name="F_11_420">#REF!</definedName>
    <definedName name="F_11_450" localSheetId="13">#REF!</definedName>
    <definedName name="F_11_450" localSheetId="14">#REF!</definedName>
    <definedName name="F_11_450" localSheetId="15">#REF!</definedName>
    <definedName name="F_11_450" localSheetId="16">#REF!</definedName>
    <definedName name="F_11_450" localSheetId="17">#REF!</definedName>
    <definedName name="F_11_450" localSheetId="18">#REF!</definedName>
    <definedName name="F_11_450" localSheetId="20">#REF!</definedName>
    <definedName name="F_11_450" localSheetId="21">#REF!</definedName>
    <definedName name="F_11_450" localSheetId="7">#REF!</definedName>
    <definedName name="F_11_450" localSheetId="3">#REF!</definedName>
    <definedName name="F_11_450" localSheetId="11">#REF!</definedName>
    <definedName name="F_11_450">#REF!</definedName>
    <definedName name="F_11_480" localSheetId="13">#REF!</definedName>
    <definedName name="F_11_480" localSheetId="14">#REF!</definedName>
    <definedName name="F_11_480" localSheetId="15">#REF!</definedName>
    <definedName name="F_11_480" localSheetId="16">#REF!</definedName>
    <definedName name="F_11_480" localSheetId="17">#REF!</definedName>
    <definedName name="F_11_480" localSheetId="18">#REF!</definedName>
    <definedName name="F_11_480" localSheetId="20">#REF!</definedName>
    <definedName name="F_11_480" localSheetId="21">#REF!</definedName>
    <definedName name="F_11_480" localSheetId="7">#REF!</definedName>
    <definedName name="F_11_480" localSheetId="3">#REF!</definedName>
    <definedName name="F_11_480" localSheetId="11">#REF!</definedName>
    <definedName name="F_11_480">#REF!</definedName>
    <definedName name="F_11_510" localSheetId="13">#REF!</definedName>
    <definedName name="F_11_510" localSheetId="14">#REF!</definedName>
    <definedName name="F_11_510" localSheetId="15">#REF!</definedName>
    <definedName name="F_11_510" localSheetId="16">#REF!</definedName>
    <definedName name="F_11_510" localSheetId="17">#REF!</definedName>
    <definedName name="F_11_510" localSheetId="18">#REF!</definedName>
    <definedName name="F_11_510" localSheetId="20">#REF!</definedName>
    <definedName name="F_11_510" localSheetId="21">#REF!</definedName>
    <definedName name="F_11_510" localSheetId="7">#REF!</definedName>
    <definedName name="F_11_510" localSheetId="3">#REF!</definedName>
    <definedName name="F_11_510" localSheetId="11">#REF!</definedName>
    <definedName name="F_11_510">#REF!</definedName>
    <definedName name="F_11_540" localSheetId="13">#REF!</definedName>
    <definedName name="F_11_540" localSheetId="14">#REF!</definedName>
    <definedName name="F_11_540" localSheetId="15">#REF!</definedName>
    <definedName name="F_11_540" localSheetId="16">#REF!</definedName>
    <definedName name="F_11_540" localSheetId="17">#REF!</definedName>
    <definedName name="F_11_540" localSheetId="18">#REF!</definedName>
    <definedName name="F_11_540" localSheetId="20">#REF!</definedName>
    <definedName name="F_11_540" localSheetId="21">#REF!</definedName>
    <definedName name="F_11_540" localSheetId="7">#REF!</definedName>
    <definedName name="F_11_540" localSheetId="3">#REF!</definedName>
    <definedName name="F_11_540" localSheetId="11">#REF!</definedName>
    <definedName name="F_11_540">#REF!</definedName>
    <definedName name="F_11_570" localSheetId="13">#REF!</definedName>
    <definedName name="F_11_570" localSheetId="14">#REF!</definedName>
    <definedName name="F_11_570" localSheetId="15">#REF!</definedName>
    <definedName name="F_11_570" localSheetId="16">#REF!</definedName>
    <definedName name="F_11_570" localSheetId="17">#REF!</definedName>
    <definedName name="F_11_570" localSheetId="18">#REF!</definedName>
    <definedName name="F_11_570" localSheetId="20">#REF!</definedName>
    <definedName name="F_11_570" localSheetId="21">#REF!</definedName>
    <definedName name="F_11_570" localSheetId="7">#REF!</definedName>
    <definedName name="F_11_570" localSheetId="3">#REF!</definedName>
    <definedName name="F_11_570" localSheetId="11">#REF!</definedName>
    <definedName name="F_11_570">#REF!</definedName>
    <definedName name="F_11_60" localSheetId="13">#REF!</definedName>
    <definedName name="F_11_60" localSheetId="14">#REF!</definedName>
    <definedName name="F_11_60" localSheetId="15">#REF!</definedName>
    <definedName name="F_11_60" localSheetId="16">#REF!</definedName>
    <definedName name="F_11_60" localSheetId="17">#REF!</definedName>
    <definedName name="F_11_60" localSheetId="18">#REF!</definedName>
    <definedName name="F_11_60" localSheetId="20">#REF!</definedName>
    <definedName name="F_11_60" localSheetId="21">#REF!</definedName>
    <definedName name="F_11_60" localSheetId="7">#REF!</definedName>
    <definedName name="F_11_60" localSheetId="3">#REF!</definedName>
    <definedName name="F_11_60" localSheetId="11">#REF!</definedName>
    <definedName name="F_11_60">#REF!</definedName>
    <definedName name="F_11_600" localSheetId="13">#REF!</definedName>
    <definedName name="F_11_600" localSheetId="14">#REF!</definedName>
    <definedName name="F_11_600" localSheetId="15">#REF!</definedName>
    <definedName name="F_11_600" localSheetId="16">#REF!</definedName>
    <definedName name="F_11_600" localSheetId="17">#REF!</definedName>
    <definedName name="F_11_600" localSheetId="18">#REF!</definedName>
    <definedName name="F_11_600" localSheetId="20">#REF!</definedName>
    <definedName name="F_11_600" localSheetId="21">#REF!</definedName>
    <definedName name="F_11_600" localSheetId="7">#REF!</definedName>
    <definedName name="F_11_600" localSheetId="3">#REF!</definedName>
    <definedName name="F_11_600" localSheetId="11">#REF!</definedName>
    <definedName name="F_11_600">#REF!</definedName>
    <definedName name="F_11_630" localSheetId="13">#REF!</definedName>
    <definedName name="F_11_630" localSheetId="14">#REF!</definedName>
    <definedName name="F_11_630" localSheetId="15">#REF!</definedName>
    <definedName name="F_11_630" localSheetId="16">#REF!</definedName>
    <definedName name="F_11_630" localSheetId="17">#REF!</definedName>
    <definedName name="F_11_630" localSheetId="18">#REF!</definedName>
    <definedName name="F_11_630" localSheetId="20">#REF!</definedName>
    <definedName name="F_11_630" localSheetId="21">#REF!</definedName>
    <definedName name="F_11_630" localSheetId="7">#REF!</definedName>
    <definedName name="F_11_630" localSheetId="3">#REF!</definedName>
    <definedName name="F_11_630" localSheetId="11">#REF!</definedName>
    <definedName name="F_11_630">#REF!</definedName>
    <definedName name="F_11_660" localSheetId="13">#REF!</definedName>
    <definedName name="F_11_660" localSheetId="14">#REF!</definedName>
    <definedName name="F_11_660" localSheetId="15">#REF!</definedName>
    <definedName name="F_11_660" localSheetId="16">#REF!</definedName>
    <definedName name="F_11_660" localSheetId="17">#REF!</definedName>
    <definedName name="F_11_660" localSheetId="18">#REF!</definedName>
    <definedName name="F_11_660" localSheetId="20">#REF!</definedName>
    <definedName name="F_11_660" localSheetId="21">#REF!</definedName>
    <definedName name="F_11_660" localSheetId="7">#REF!</definedName>
    <definedName name="F_11_660" localSheetId="3">#REF!</definedName>
    <definedName name="F_11_660" localSheetId="11">#REF!</definedName>
    <definedName name="F_11_660">#REF!</definedName>
    <definedName name="F_11_690" localSheetId="13">#REF!</definedName>
    <definedName name="F_11_690" localSheetId="14">#REF!</definedName>
    <definedName name="F_11_690" localSheetId="15">#REF!</definedName>
    <definedName name="F_11_690" localSheetId="16">#REF!</definedName>
    <definedName name="F_11_690" localSheetId="17">#REF!</definedName>
    <definedName name="F_11_690" localSheetId="18">#REF!</definedName>
    <definedName name="F_11_690" localSheetId="20">#REF!</definedName>
    <definedName name="F_11_690" localSheetId="21">#REF!</definedName>
    <definedName name="F_11_690" localSheetId="7">#REF!</definedName>
    <definedName name="F_11_690" localSheetId="3">#REF!</definedName>
    <definedName name="F_11_690" localSheetId="11">#REF!</definedName>
    <definedName name="F_11_690">#REF!</definedName>
    <definedName name="F_11_720" localSheetId="13">#REF!</definedName>
    <definedName name="F_11_720" localSheetId="14">#REF!</definedName>
    <definedName name="F_11_720" localSheetId="15">#REF!</definedName>
    <definedName name="F_11_720" localSheetId="16">#REF!</definedName>
    <definedName name="F_11_720" localSheetId="17">#REF!</definedName>
    <definedName name="F_11_720" localSheetId="18">#REF!</definedName>
    <definedName name="F_11_720" localSheetId="20">#REF!</definedName>
    <definedName name="F_11_720" localSheetId="21">#REF!</definedName>
    <definedName name="F_11_720" localSheetId="7">#REF!</definedName>
    <definedName name="F_11_720" localSheetId="3">#REF!</definedName>
    <definedName name="F_11_720" localSheetId="11">#REF!</definedName>
    <definedName name="F_11_720">#REF!</definedName>
    <definedName name="F_11_90" localSheetId="13">#REF!</definedName>
    <definedName name="F_11_90" localSheetId="14">#REF!</definedName>
    <definedName name="F_11_90" localSheetId="15">#REF!</definedName>
    <definedName name="F_11_90" localSheetId="16">#REF!</definedName>
    <definedName name="F_11_90" localSheetId="17">#REF!</definedName>
    <definedName name="F_11_90" localSheetId="18">#REF!</definedName>
    <definedName name="F_11_90" localSheetId="20">#REF!</definedName>
    <definedName name="F_11_90" localSheetId="21">#REF!</definedName>
    <definedName name="F_11_90" localSheetId="7">#REF!</definedName>
    <definedName name="F_11_90" localSheetId="3">#REF!</definedName>
    <definedName name="F_11_90" localSheetId="11">#REF!</definedName>
    <definedName name="F_11_90">#REF!</definedName>
    <definedName name="F_12_120" localSheetId="13">#REF!</definedName>
    <definedName name="F_12_120" localSheetId="14">#REF!</definedName>
    <definedName name="F_12_120" localSheetId="15">#REF!</definedName>
    <definedName name="F_12_120" localSheetId="16">#REF!</definedName>
    <definedName name="F_12_120" localSheetId="17">#REF!</definedName>
    <definedName name="F_12_120" localSheetId="18">#REF!</definedName>
    <definedName name="F_12_120" localSheetId="20">#REF!</definedName>
    <definedName name="F_12_120" localSheetId="21">#REF!</definedName>
    <definedName name="F_12_120" localSheetId="7">#REF!</definedName>
    <definedName name="F_12_120" localSheetId="3">#REF!</definedName>
    <definedName name="F_12_120" localSheetId="11">#REF!</definedName>
    <definedName name="F_12_120">#REF!</definedName>
    <definedName name="F_12_150" localSheetId="13">#REF!</definedName>
    <definedName name="F_12_150" localSheetId="14">#REF!</definedName>
    <definedName name="F_12_150" localSheetId="15">#REF!</definedName>
    <definedName name="F_12_150" localSheetId="16">#REF!</definedName>
    <definedName name="F_12_150" localSheetId="17">#REF!</definedName>
    <definedName name="F_12_150" localSheetId="18">#REF!</definedName>
    <definedName name="F_12_150" localSheetId="20">#REF!</definedName>
    <definedName name="F_12_150" localSheetId="21">#REF!</definedName>
    <definedName name="F_12_150" localSheetId="7">#REF!</definedName>
    <definedName name="F_12_150" localSheetId="3">#REF!</definedName>
    <definedName name="F_12_150" localSheetId="11">#REF!</definedName>
    <definedName name="F_12_150">#REF!</definedName>
    <definedName name="F_12_180" localSheetId="13">#REF!</definedName>
    <definedName name="F_12_180" localSheetId="14">#REF!</definedName>
    <definedName name="F_12_180" localSheetId="15">#REF!</definedName>
    <definedName name="F_12_180" localSheetId="16">#REF!</definedName>
    <definedName name="F_12_180" localSheetId="17">#REF!</definedName>
    <definedName name="F_12_180" localSheetId="18">#REF!</definedName>
    <definedName name="F_12_180" localSheetId="20">#REF!</definedName>
    <definedName name="F_12_180" localSheetId="21">#REF!</definedName>
    <definedName name="F_12_180" localSheetId="7">#REF!</definedName>
    <definedName name="F_12_180" localSheetId="3">#REF!</definedName>
    <definedName name="F_12_180" localSheetId="11">#REF!</definedName>
    <definedName name="F_12_180">#REF!</definedName>
    <definedName name="F_12_210" localSheetId="13">#REF!</definedName>
    <definedName name="F_12_210" localSheetId="14">#REF!</definedName>
    <definedName name="F_12_210" localSheetId="15">#REF!</definedName>
    <definedName name="F_12_210" localSheetId="16">#REF!</definedName>
    <definedName name="F_12_210" localSheetId="17">#REF!</definedName>
    <definedName name="F_12_210" localSheetId="18">#REF!</definedName>
    <definedName name="F_12_210" localSheetId="20">#REF!</definedName>
    <definedName name="F_12_210" localSheetId="21">#REF!</definedName>
    <definedName name="F_12_210" localSheetId="7">#REF!</definedName>
    <definedName name="F_12_210" localSheetId="3">#REF!</definedName>
    <definedName name="F_12_210" localSheetId="11">#REF!</definedName>
    <definedName name="F_12_210">#REF!</definedName>
    <definedName name="F_12_240" localSheetId="13">#REF!</definedName>
    <definedName name="F_12_240" localSheetId="14">#REF!</definedName>
    <definedName name="F_12_240" localSheetId="15">#REF!</definedName>
    <definedName name="F_12_240" localSheetId="16">#REF!</definedName>
    <definedName name="F_12_240" localSheetId="17">#REF!</definedName>
    <definedName name="F_12_240" localSheetId="18">#REF!</definedName>
    <definedName name="F_12_240" localSheetId="20">#REF!</definedName>
    <definedName name="F_12_240" localSheetId="21">#REF!</definedName>
    <definedName name="F_12_240" localSheetId="7">#REF!</definedName>
    <definedName name="F_12_240" localSheetId="3">#REF!</definedName>
    <definedName name="F_12_240" localSheetId="11">#REF!</definedName>
    <definedName name="F_12_240">#REF!</definedName>
    <definedName name="F_12_270" localSheetId="13">#REF!</definedName>
    <definedName name="F_12_270" localSheetId="14">#REF!</definedName>
    <definedName name="F_12_270" localSheetId="15">#REF!</definedName>
    <definedName name="F_12_270" localSheetId="16">#REF!</definedName>
    <definedName name="F_12_270" localSheetId="17">#REF!</definedName>
    <definedName name="F_12_270" localSheetId="18">#REF!</definedName>
    <definedName name="F_12_270" localSheetId="20">#REF!</definedName>
    <definedName name="F_12_270" localSheetId="21">#REF!</definedName>
    <definedName name="F_12_270" localSheetId="7">#REF!</definedName>
    <definedName name="F_12_270" localSheetId="3">#REF!</definedName>
    <definedName name="F_12_270" localSheetId="11">#REF!</definedName>
    <definedName name="F_12_270">#REF!</definedName>
    <definedName name="F_12_30" localSheetId="13">#REF!</definedName>
    <definedName name="F_12_30" localSheetId="14">#REF!</definedName>
    <definedName name="F_12_30" localSheetId="15">#REF!</definedName>
    <definedName name="F_12_30" localSheetId="16">#REF!</definedName>
    <definedName name="F_12_30" localSheetId="17">#REF!</definedName>
    <definedName name="F_12_30" localSheetId="18">#REF!</definedName>
    <definedName name="F_12_30" localSheetId="20">#REF!</definedName>
    <definedName name="F_12_30" localSheetId="21">#REF!</definedName>
    <definedName name="F_12_30" localSheetId="7">#REF!</definedName>
    <definedName name="F_12_30" localSheetId="3">#REF!</definedName>
    <definedName name="F_12_30" localSheetId="11">#REF!</definedName>
    <definedName name="F_12_30">#REF!</definedName>
    <definedName name="F_12_300" localSheetId="13">#REF!</definedName>
    <definedName name="F_12_300" localSheetId="14">#REF!</definedName>
    <definedName name="F_12_300" localSheetId="15">#REF!</definedName>
    <definedName name="F_12_300" localSheetId="16">#REF!</definedName>
    <definedName name="F_12_300" localSheetId="17">#REF!</definedName>
    <definedName name="F_12_300" localSheetId="18">#REF!</definedName>
    <definedName name="F_12_300" localSheetId="20">#REF!</definedName>
    <definedName name="F_12_300" localSheetId="21">#REF!</definedName>
    <definedName name="F_12_300" localSheetId="7">#REF!</definedName>
    <definedName name="F_12_300" localSheetId="3">#REF!</definedName>
    <definedName name="F_12_300" localSheetId="11">#REF!</definedName>
    <definedName name="F_12_300">#REF!</definedName>
    <definedName name="F_12_330" localSheetId="13">#REF!</definedName>
    <definedName name="F_12_330" localSheetId="14">#REF!</definedName>
    <definedName name="F_12_330" localSheetId="15">#REF!</definedName>
    <definedName name="F_12_330" localSheetId="16">#REF!</definedName>
    <definedName name="F_12_330" localSheetId="17">#REF!</definedName>
    <definedName name="F_12_330" localSheetId="18">#REF!</definedName>
    <definedName name="F_12_330" localSheetId="20">#REF!</definedName>
    <definedName name="F_12_330" localSheetId="21">#REF!</definedName>
    <definedName name="F_12_330" localSheetId="7">#REF!</definedName>
    <definedName name="F_12_330" localSheetId="3">#REF!</definedName>
    <definedName name="F_12_330" localSheetId="11">#REF!</definedName>
    <definedName name="F_12_330">#REF!</definedName>
    <definedName name="F_12_360" localSheetId="13">#REF!</definedName>
    <definedName name="F_12_360" localSheetId="14">#REF!</definedName>
    <definedName name="F_12_360" localSheetId="15">#REF!</definedName>
    <definedName name="F_12_360" localSheetId="16">#REF!</definedName>
    <definedName name="F_12_360" localSheetId="17">#REF!</definedName>
    <definedName name="F_12_360" localSheetId="18">#REF!</definedName>
    <definedName name="F_12_360" localSheetId="20">#REF!</definedName>
    <definedName name="F_12_360" localSheetId="21">#REF!</definedName>
    <definedName name="F_12_360" localSheetId="7">#REF!</definedName>
    <definedName name="F_12_360" localSheetId="3">#REF!</definedName>
    <definedName name="F_12_360" localSheetId="11">#REF!</definedName>
    <definedName name="F_12_360">#REF!</definedName>
    <definedName name="F_12_390" localSheetId="13">#REF!</definedName>
    <definedName name="F_12_390" localSheetId="14">#REF!</definedName>
    <definedName name="F_12_390" localSheetId="15">#REF!</definedName>
    <definedName name="F_12_390" localSheetId="16">#REF!</definedName>
    <definedName name="F_12_390" localSheetId="17">#REF!</definedName>
    <definedName name="F_12_390" localSheetId="18">#REF!</definedName>
    <definedName name="F_12_390" localSheetId="20">#REF!</definedName>
    <definedName name="F_12_390" localSheetId="21">#REF!</definedName>
    <definedName name="F_12_390" localSheetId="7">#REF!</definedName>
    <definedName name="F_12_390" localSheetId="3">#REF!</definedName>
    <definedName name="F_12_390" localSheetId="11">#REF!</definedName>
    <definedName name="F_12_390">#REF!</definedName>
    <definedName name="F_12_420" localSheetId="13">#REF!</definedName>
    <definedName name="F_12_420" localSheetId="14">#REF!</definedName>
    <definedName name="F_12_420" localSheetId="15">#REF!</definedName>
    <definedName name="F_12_420" localSheetId="16">#REF!</definedName>
    <definedName name="F_12_420" localSheetId="17">#REF!</definedName>
    <definedName name="F_12_420" localSheetId="18">#REF!</definedName>
    <definedName name="F_12_420" localSheetId="20">#REF!</definedName>
    <definedName name="F_12_420" localSheetId="21">#REF!</definedName>
    <definedName name="F_12_420" localSheetId="7">#REF!</definedName>
    <definedName name="F_12_420" localSheetId="3">#REF!</definedName>
    <definedName name="F_12_420" localSheetId="11">#REF!</definedName>
    <definedName name="F_12_420">#REF!</definedName>
    <definedName name="F_12_450" localSheetId="13">#REF!</definedName>
    <definedName name="F_12_450" localSheetId="14">#REF!</definedName>
    <definedName name="F_12_450" localSheetId="15">#REF!</definedName>
    <definedName name="F_12_450" localSheetId="16">#REF!</definedName>
    <definedName name="F_12_450" localSheetId="17">#REF!</definedName>
    <definedName name="F_12_450" localSheetId="18">#REF!</definedName>
    <definedName name="F_12_450" localSheetId="20">#REF!</definedName>
    <definedName name="F_12_450" localSheetId="21">#REF!</definedName>
    <definedName name="F_12_450" localSheetId="7">#REF!</definedName>
    <definedName name="F_12_450" localSheetId="3">#REF!</definedName>
    <definedName name="F_12_450" localSheetId="11">#REF!</definedName>
    <definedName name="F_12_450">#REF!</definedName>
    <definedName name="F_12_480" localSheetId="13">#REF!</definedName>
    <definedName name="F_12_480" localSheetId="14">#REF!</definedName>
    <definedName name="F_12_480" localSheetId="15">#REF!</definedName>
    <definedName name="F_12_480" localSheetId="16">#REF!</definedName>
    <definedName name="F_12_480" localSheetId="17">#REF!</definedName>
    <definedName name="F_12_480" localSheetId="18">#REF!</definedName>
    <definedName name="F_12_480" localSheetId="20">#REF!</definedName>
    <definedName name="F_12_480" localSheetId="21">#REF!</definedName>
    <definedName name="F_12_480" localSheetId="7">#REF!</definedName>
    <definedName name="F_12_480" localSheetId="3">#REF!</definedName>
    <definedName name="F_12_480" localSheetId="11">#REF!</definedName>
    <definedName name="F_12_480">#REF!</definedName>
    <definedName name="F_12_510" localSheetId="13">#REF!</definedName>
    <definedName name="F_12_510" localSheetId="14">#REF!</definedName>
    <definedName name="F_12_510" localSheetId="15">#REF!</definedName>
    <definedName name="F_12_510" localSheetId="16">#REF!</definedName>
    <definedName name="F_12_510" localSheetId="17">#REF!</definedName>
    <definedName name="F_12_510" localSheetId="18">#REF!</definedName>
    <definedName name="F_12_510" localSheetId="20">#REF!</definedName>
    <definedName name="F_12_510" localSheetId="21">#REF!</definedName>
    <definedName name="F_12_510" localSheetId="7">#REF!</definedName>
    <definedName name="F_12_510" localSheetId="3">#REF!</definedName>
    <definedName name="F_12_510" localSheetId="11">#REF!</definedName>
    <definedName name="F_12_510">#REF!</definedName>
    <definedName name="F_12_540" localSheetId="13">#REF!</definedName>
    <definedName name="F_12_540" localSheetId="14">#REF!</definedName>
    <definedName name="F_12_540" localSheetId="15">#REF!</definedName>
    <definedName name="F_12_540" localSheetId="16">#REF!</definedName>
    <definedName name="F_12_540" localSheetId="17">#REF!</definedName>
    <definedName name="F_12_540" localSheetId="18">#REF!</definedName>
    <definedName name="F_12_540" localSheetId="20">#REF!</definedName>
    <definedName name="F_12_540" localSheetId="21">#REF!</definedName>
    <definedName name="F_12_540" localSheetId="7">#REF!</definedName>
    <definedName name="F_12_540" localSheetId="3">#REF!</definedName>
    <definedName name="F_12_540" localSheetId="11">#REF!</definedName>
    <definedName name="F_12_540">#REF!</definedName>
    <definedName name="F_12_570" localSheetId="13">#REF!</definedName>
    <definedName name="F_12_570" localSheetId="14">#REF!</definedName>
    <definedName name="F_12_570" localSheetId="15">#REF!</definedName>
    <definedName name="F_12_570" localSheetId="16">#REF!</definedName>
    <definedName name="F_12_570" localSheetId="17">#REF!</definedName>
    <definedName name="F_12_570" localSheetId="18">#REF!</definedName>
    <definedName name="F_12_570" localSheetId="20">#REF!</definedName>
    <definedName name="F_12_570" localSheetId="21">#REF!</definedName>
    <definedName name="F_12_570" localSheetId="7">#REF!</definedName>
    <definedName name="F_12_570" localSheetId="3">#REF!</definedName>
    <definedName name="F_12_570" localSheetId="11">#REF!</definedName>
    <definedName name="F_12_570">#REF!</definedName>
    <definedName name="F_12_60" localSheetId="13">#REF!</definedName>
    <definedName name="F_12_60" localSheetId="14">#REF!</definedName>
    <definedName name="F_12_60" localSheetId="15">#REF!</definedName>
    <definedName name="F_12_60" localSheetId="16">#REF!</definedName>
    <definedName name="F_12_60" localSheetId="17">#REF!</definedName>
    <definedName name="F_12_60" localSheetId="18">#REF!</definedName>
    <definedName name="F_12_60" localSheetId="20">#REF!</definedName>
    <definedName name="F_12_60" localSheetId="21">#REF!</definedName>
    <definedName name="F_12_60" localSheetId="7">#REF!</definedName>
    <definedName name="F_12_60" localSheetId="3">#REF!</definedName>
    <definedName name="F_12_60" localSheetId="11">#REF!</definedName>
    <definedName name="F_12_60">#REF!</definedName>
    <definedName name="F_12_600" localSheetId="13">#REF!</definedName>
    <definedName name="F_12_600" localSheetId="14">#REF!</definedName>
    <definedName name="F_12_600" localSheetId="15">#REF!</definedName>
    <definedName name="F_12_600" localSheetId="16">#REF!</definedName>
    <definedName name="F_12_600" localSheetId="17">#REF!</definedName>
    <definedName name="F_12_600" localSheetId="18">#REF!</definedName>
    <definedName name="F_12_600" localSheetId="20">#REF!</definedName>
    <definedName name="F_12_600" localSheetId="21">#REF!</definedName>
    <definedName name="F_12_600" localSheetId="7">#REF!</definedName>
    <definedName name="F_12_600" localSheetId="3">#REF!</definedName>
    <definedName name="F_12_600" localSheetId="11">#REF!</definedName>
    <definedName name="F_12_600">#REF!</definedName>
    <definedName name="F_12_630" localSheetId="13">#REF!</definedName>
    <definedName name="F_12_630" localSheetId="14">#REF!</definedName>
    <definedName name="F_12_630" localSheetId="15">#REF!</definedName>
    <definedName name="F_12_630" localSheetId="16">#REF!</definedName>
    <definedName name="F_12_630" localSheetId="17">#REF!</definedName>
    <definedName name="F_12_630" localSheetId="18">#REF!</definedName>
    <definedName name="F_12_630" localSheetId="20">#REF!</definedName>
    <definedName name="F_12_630" localSheetId="21">#REF!</definedName>
    <definedName name="F_12_630" localSheetId="7">#REF!</definedName>
    <definedName name="F_12_630" localSheetId="3">#REF!</definedName>
    <definedName name="F_12_630" localSheetId="11">#REF!</definedName>
    <definedName name="F_12_630">#REF!</definedName>
    <definedName name="F_12_660" localSheetId="13">#REF!</definedName>
    <definedName name="F_12_660" localSheetId="14">#REF!</definedName>
    <definedName name="F_12_660" localSheetId="15">#REF!</definedName>
    <definedName name="F_12_660" localSheetId="16">#REF!</definedName>
    <definedName name="F_12_660" localSheetId="17">#REF!</definedName>
    <definedName name="F_12_660" localSheetId="18">#REF!</definedName>
    <definedName name="F_12_660" localSheetId="20">#REF!</definedName>
    <definedName name="F_12_660" localSheetId="21">#REF!</definedName>
    <definedName name="F_12_660" localSheetId="7">#REF!</definedName>
    <definedName name="F_12_660" localSheetId="3">#REF!</definedName>
    <definedName name="F_12_660" localSheetId="11">#REF!</definedName>
    <definedName name="F_12_660">#REF!</definedName>
    <definedName name="F_12_690" localSheetId="13">#REF!</definedName>
    <definedName name="F_12_690" localSheetId="14">#REF!</definedName>
    <definedName name="F_12_690" localSheetId="15">#REF!</definedName>
    <definedName name="F_12_690" localSheetId="16">#REF!</definedName>
    <definedName name="F_12_690" localSheetId="17">#REF!</definedName>
    <definedName name="F_12_690" localSheetId="18">#REF!</definedName>
    <definedName name="F_12_690" localSheetId="20">#REF!</definedName>
    <definedName name="F_12_690" localSheetId="21">#REF!</definedName>
    <definedName name="F_12_690" localSheetId="7">#REF!</definedName>
    <definedName name="F_12_690" localSheetId="3">#REF!</definedName>
    <definedName name="F_12_690" localSheetId="11">#REF!</definedName>
    <definedName name="F_12_690">#REF!</definedName>
    <definedName name="F_12_720" localSheetId="13">#REF!</definedName>
    <definedName name="F_12_720" localSheetId="14">#REF!</definedName>
    <definedName name="F_12_720" localSheetId="15">#REF!</definedName>
    <definedName name="F_12_720" localSheetId="16">#REF!</definedName>
    <definedName name="F_12_720" localSheetId="17">#REF!</definedName>
    <definedName name="F_12_720" localSheetId="18">#REF!</definedName>
    <definedName name="F_12_720" localSheetId="20">#REF!</definedName>
    <definedName name="F_12_720" localSheetId="21">#REF!</definedName>
    <definedName name="F_12_720" localSheetId="7">#REF!</definedName>
    <definedName name="F_12_720" localSheetId="3">#REF!</definedName>
    <definedName name="F_12_720" localSheetId="11">#REF!</definedName>
    <definedName name="F_12_720">#REF!</definedName>
    <definedName name="F_12_90" localSheetId="13">#REF!</definedName>
    <definedName name="F_12_90" localSheetId="14">#REF!</definedName>
    <definedName name="F_12_90" localSheetId="15">#REF!</definedName>
    <definedName name="F_12_90" localSheetId="16">#REF!</definedName>
    <definedName name="F_12_90" localSheetId="17">#REF!</definedName>
    <definedName name="F_12_90" localSheetId="18">#REF!</definedName>
    <definedName name="F_12_90" localSheetId="20">#REF!</definedName>
    <definedName name="F_12_90" localSheetId="21">#REF!</definedName>
    <definedName name="F_12_90" localSheetId="7">#REF!</definedName>
    <definedName name="F_12_90" localSheetId="3">#REF!</definedName>
    <definedName name="F_12_90" localSheetId="11">#REF!</definedName>
    <definedName name="F_12_90">#REF!</definedName>
    <definedName name="F_13_120" localSheetId="13">#REF!</definedName>
    <definedName name="F_13_120" localSheetId="14">#REF!</definedName>
    <definedName name="F_13_120" localSheetId="15">#REF!</definedName>
    <definedName name="F_13_120" localSheetId="16">#REF!</definedName>
    <definedName name="F_13_120" localSheetId="17">#REF!</definedName>
    <definedName name="F_13_120" localSheetId="18">#REF!</definedName>
    <definedName name="F_13_120" localSheetId="20">#REF!</definedName>
    <definedName name="F_13_120" localSheetId="21">#REF!</definedName>
    <definedName name="F_13_120" localSheetId="7">#REF!</definedName>
    <definedName name="F_13_120" localSheetId="3">#REF!</definedName>
    <definedName name="F_13_120" localSheetId="11">#REF!</definedName>
    <definedName name="F_13_120">#REF!</definedName>
    <definedName name="F_13_150" localSheetId="13">#REF!</definedName>
    <definedName name="F_13_150" localSheetId="14">#REF!</definedName>
    <definedName name="F_13_150" localSheetId="15">#REF!</definedName>
    <definedName name="F_13_150" localSheetId="16">#REF!</definedName>
    <definedName name="F_13_150" localSheetId="17">#REF!</definedName>
    <definedName name="F_13_150" localSheetId="18">#REF!</definedName>
    <definedName name="F_13_150" localSheetId="20">#REF!</definedName>
    <definedName name="F_13_150" localSheetId="21">#REF!</definedName>
    <definedName name="F_13_150" localSheetId="7">#REF!</definedName>
    <definedName name="F_13_150" localSheetId="3">#REF!</definedName>
    <definedName name="F_13_150" localSheetId="11">#REF!</definedName>
    <definedName name="F_13_150">#REF!</definedName>
    <definedName name="F_13_180" localSheetId="13">#REF!</definedName>
    <definedName name="F_13_180" localSheetId="14">#REF!</definedName>
    <definedName name="F_13_180" localSheetId="15">#REF!</definedName>
    <definedName name="F_13_180" localSheetId="16">#REF!</definedName>
    <definedName name="F_13_180" localSheetId="17">#REF!</definedName>
    <definedName name="F_13_180" localSheetId="18">#REF!</definedName>
    <definedName name="F_13_180" localSheetId="20">#REF!</definedName>
    <definedName name="F_13_180" localSheetId="21">#REF!</definedName>
    <definedName name="F_13_180" localSheetId="7">#REF!</definedName>
    <definedName name="F_13_180" localSheetId="3">#REF!</definedName>
    <definedName name="F_13_180" localSheetId="11">#REF!</definedName>
    <definedName name="F_13_180">#REF!</definedName>
    <definedName name="F_13_210" localSheetId="13">#REF!</definedName>
    <definedName name="F_13_210" localSheetId="14">#REF!</definedName>
    <definedName name="F_13_210" localSheetId="15">#REF!</definedName>
    <definedName name="F_13_210" localSheetId="16">#REF!</definedName>
    <definedName name="F_13_210" localSheetId="17">#REF!</definedName>
    <definedName name="F_13_210" localSheetId="18">#REF!</definedName>
    <definedName name="F_13_210" localSheetId="20">#REF!</definedName>
    <definedName name="F_13_210" localSheetId="21">#REF!</definedName>
    <definedName name="F_13_210" localSheetId="7">#REF!</definedName>
    <definedName name="F_13_210" localSheetId="3">#REF!</definedName>
    <definedName name="F_13_210" localSheetId="11">#REF!</definedName>
    <definedName name="F_13_210">#REF!</definedName>
    <definedName name="F_13_240" localSheetId="13">#REF!</definedName>
    <definedName name="F_13_240" localSheetId="14">#REF!</definedName>
    <definedName name="F_13_240" localSheetId="15">#REF!</definedName>
    <definedName name="F_13_240" localSheetId="16">#REF!</definedName>
    <definedName name="F_13_240" localSheetId="17">#REF!</definedName>
    <definedName name="F_13_240" localSheetId="18">#REF!</definedName>
    <definedName name="F_13_240" localSheetId="20">#REF!</definedName>
    <definedName name="F_13_240" localSheetId="21">#REF!</definedName>
    <definedName name="F_13_240" localSheetId="7">#REF!</definedName>
    <definedName name="F_13_240" localSheetId="3">#REF!</definedName>
    <definedName name="F_13_240" localSheetId="11">#REF!</definedName>
    <definedName name="F_13_240">#REF!</definedName>
    <definedName name="F_13_270" localSheetId="13">#REF!</definedName>
    <definedName name="F_13_270" localSheetId="14">#REF!</definedName>
    <definedName name="F_13_270" localSheetId="15">#REF!</definedName>
    <definedName name="F_13_270" localSheetId="16">#REF!</definedName>
    <definedName name="F_13_270" localSheetId="17">#REF!</definedName>
    <definedName name="F_13_270" localSheetId="18">#REF!</definedName>
    <definedName name="F_13_270" localSheetId="20">#REF!</definedName>
    <definedName name="F_13_270" localSheetId="21">#REF!</definedName>
    <definedName name="F_13_270" localSheetId="7">#REF!</definedName>
    <definedName name="F_13_270" localSheetId="3">#REF!</definedName>
    <definedName name="F_13_270" localSheetId="11">#REF!</definedName>
    <definedName name="F_13_270">#REF!</definedName>
    <definedName name="F_13_30" localSheetId="13">#REF!</definedName>
    <definedName name="F_13_30" localSheetId="14">#REF!</definedName>
    <definedName name="F_13_30" localSheetId="15">#REF!</definedName>
    <definedName name="F_13_30" localSheetId="16">#REF!</definedName>
    <definedName name="F_13_30" localSheetId="17">#REF!</definedName>
    <definedName name="F_13_30" localSheetId="18">#REF!</definedName>
    <definedName name="F_13_30" localSheetId="20">#REF!</definedName>
    <definedName name="F_13_30" localSheetId="21">#REF!</definedName>
    <definedName name="F_13_30" localSheetId="7">#REF!</definedName>
    <definedName name="F_13_30" localSheetId="3">#REF!</definedName>
    <definedName name="F_13_30" localSheetId="11">#REF!</definedName>
    <definedName name="F_13_30">#REF!</definedName>
    <definedName name="F_13_300" localSheetId="13">#REF!</definedName>
    <definedName name="F_13_300" localSheetId="14">#REF!</definedName>
    <definedName name="F_13_300" localSheetId="15">#REF!</definedName>
    <definedName name="F_13_300" localSheetId="16">#REF!</definedName>
    <definedName name="F_13_300" localSheetId="17">#REF!</definedName>
    <definedName name="F_13_300" localSheetId="18">#REF!</definedName>
    <definedName name="F_13_300" localSheetId="20">#REF!</definedName>
    <definedName name="F_13_300" localSheetId="21">#REF!</definedName>
    <definedName name="F_13_300" localSheetId="7">#REF!</definedName>
    <definedName name="F_13_300" localSheetId="3">#REF!</definedName>
    <definedName name="F_13_300" localSheetId="11">#REF!</definedName>
    <definedName name="F_13_300">#REF!</definedName>
    <definedName name="F_13_330" localSheetId="13">#REF!</definedName>
    <definedName name="F_13_330" localSheetId="14">#REF!</definedName>
    <definedName name="F_13_330" localSheetId="15">#REF!</definedName>
    <definedName name="F_13_330" localSheetId="16">#REF!</definedName>
    <definedName name="F_13_330" localSheetId="17">#REF!</definedName>
    <definedName name="F_13_330" localSheetId="18">#REF!</definedName>
    <definedName name="F_13_330" localSheetId="20">#REF!</definedName>
    <definedName name="F_13_330" localSheetId="21">#REF!</definedName>
    <definedName name="F_13_330" localSheetId="7">#REF!</definedName>
    <definedName name="F_13_330" localSheetId="3">#REF!</definedName>
    <definedName name="F_13_330" localSheetId="11">#REF!</definedName>
    <definedName name="F_13_330">#REF!</definedName>
    <definedName name="F_13_360" localSheetId="13">#REF!</definedName>
    <definedName name="F_13_360" localSheetId="14">#REF!</definedName>
    <definedName name="F_13_360" localSheetId="15">#REF!</definedName>
    <definedName name="F_13_360" localSheetId="16">#REF!</definedName>
    <definedName name="F_13_360" localSheetId="17">#REF!</definedName>
    <definedName name="F_13_360" localSheetId="18">#REF!</definedName>
    <definedName name="F_13_360" localSheetId="20">#REF!</definedName>
    <definedName name="F_13_360" localSheetId="21">#REF!</definedName>
    <definedName name="F_13_360" localSheetId="7">#REF!</definedName>
    <definedName name="F_13_360" localSheetId="3">#REF!</definedName>
    <definedName name="F_13_360" localSheetId="11">#REF!</definedName>
    <definedName name="F_13_360">#REF!</definedName>
    <definedName name="F_13_390" localSheetId="13">#REF!</definedName>
    <definedName name="F_13_390" localSheetId="14">#REF!</definedName>
    <definedName name="F_13_390" localSheetId="15">#REF!</definedName>
    <definedName name="F_13_390" localSheetId="16">#REF!</definedName>
    <definedName name="F_13_390" localSheetId="17">#REF!</definedName>
    <definedName name="F_13_390" localSheetId="18">#REF!</definedName>
    <definedName name="F_13_390" localSheetId="20">#REF!</definedName>
    <definedName name="F_13_390" localSheetId="21">#REF!</definedName>
    <definedName name="F_13_390" localSheetId="7">#REF!</definedName>
    <definedName name="F_13_390" localSheetId="3">#REF!</definedName>
    <definedName name="F_13_390" localSheetId="11">#REF!</definedName>
    <definedName name="F_13_390">#REF!</definedName>
    <definedName name="F_13_420" localSheetId="13">#REF!</definedName>
    <definedName name="F_13_420" localSheetId="14">#REF!</definedName>
    <definedName name="F_13_420" localSheetId="15">#REF!</definedName>
    <definedName name="F_13_420" localSheetId="16">#REF!</definedName>
    <definedName name="F_13_420" localSheetId="17">#REF!</definedName>
    <definedName name="F_13_420" localSheetId="18">#REF!</definedName>
    <definedName name="F_13_420" localSheetId="20">#REF!</definedName>
    <definedName name="F_13_420" localSheetId="21">#REF!</definedName>
    <definedName name="F_13_420" localSheetId="7">#REF!</definedName>
    <definedName name="F_13_420" localSheetId="3">#REF!</definedName>
    <definedName name="F_13_420" localSheetId="11">#REF!</definedName>
    <definedName name="F_13_420">#REF!</definedName>
    <definedName name="F_13_450" localSheetId="13">#REF!</definedName>
    <definedName name="F_13_450" localSheetId="14">#REF!</definedName>
    <definedName name="F_13_450" localSheetId="15">#REF!</definedName>
    <definedName name="F_13_450" localSheetId="16">#REF!</definedName>
    <definedName name="F_13_450" localSheetId="17">#REF!</definedName>
    <definedName name="F_13_450" localSheetId="18">#REF!</definedName>
    <definedName name="F_13_450" localSheetId="20">#REF!</definedName>
    <definedName name="F_13_450" localSheetId="21">#REF!</definedName>
    <definedName name="F_13_450" localSheetId="7">#REF!</definedName>
    <definedName name="F_13_450" localSheetId="3">#REF!</definedName>
    <definedName name="F_13_450" localSheetId="11">#REF!</definedName>
    <definedName name="F_13_450">#REF!</definedName>
    <definedName name="F_13_480" localSheetId="13">#REF!</definedName>
    <definedName name="F_13_480" localSheetId="14">#REF!</definedName>
    <definedName name="F_13_480" localSheetId="15">#REF!</definedName>
    <definedName name="F_13_480" localSheetId="16">#REF!</definedName>
    <definedName name="F_13_480" localSheetId="17">#REF!</definedName>
    <definedName name="F_13_480" localSheetId="18">#REF!</definedName>
    <definedName name="F_13_480" localSheetId="20">#REF!</definedName>
    <definedName name="F_13_480" localSheetId="21">#REF!</definedName>
    <definedName name="F_13_480" localSheetId="7">#REF!</definedName>
    <definedName name="F_13_480" localSheetId="3">#REF!</definedName>
    <definedName name="F_13_480" localSheetId="11">#REF!</definedName>
    <definedName name="F_13_480">#REF!</definedName>
    <definedName name="F_13_510" localSheetId="13">#REF!</definedName>
    <definedName name="F_13_510" localSheetId="14">#REF!</definedName>
    <definedName name="F_13_510" localSheetId="15">#REF!</definedName>
    <definedName name="F_13_510" localSheetId="16">#REF!</definedName>
    <definedName name="F_13_510" localSheetId="17">#REF!</definedName>
    <definedName name="F_13_510" localSheetId="18">#REF!</definedName>
    <definedName name="F_13_510" localSheetId="20">#REF!</definedName>
    <definedName name="F_13_510" localSheetId="21">#REF!</definedName>
    <definedName name="F_13_510" localSheetId="7">#REF!</definedName>
    <definedName name="F_13_510" localSheetId="3">#REF!</definedName>
    <definedName name="F_13_510" localSheetId="11">#REF!</definedName>
    <definedName name="F_13_510">#REF!</definedName>
    <definedName name="F_13_540" localSheetId="13">#REF!</definedName>
    <definedName name="F_13_540" localSheetId="14">#REF!</definedName>
    <definedName name="F_13_540" localSheetId="15">#REF!</definedName>
    <definedName name="F_13_540" localSheetId="16">#REF!</definedName>
    <definedName name="F_13_540" localSheetId="17">#REF!</definedName>
    <definedName name="F_13_540" localSheetId="18">#REF!</definedName>
    <definedName name="F_13_540" localSheetId="20">#REF!</definedName>
    <definedName name="F_13_540" localSheetId="21">#REF!</definedName>
    <definedName name="F_13_540" localSheetId="7">#REF!</definedName>
    <definedName name="F_13_540" localSheetId="3">#REF!</definedName>
    <definedName name="F_13_540" localSheetId="11">#REF!</definedName>
    <definedName name="F_13_540">#REF!</definedName>
    <definedName name="F_13_570" localSheetId="13">#REF!</definedName>
    <definedName name="F_13_570" localSheetId="14">#REF!</definedName>
    <definedName name="F_13_570" localSheetId="15">#REF!</definedName>
    <definedName name="F_13_570" localSheetId="16">#REF!</definedName>
    <definedName name="F_13_570" localSheetId="17">#REF!</definedName>
    <definedName name="F_13_570" localSheetId="18">#REF!</definedName>
    <definedName name="F_13_570" localSheetId="20">#REF!</definedName>
    <definedName name="F_13_570" localSheetId="21">#REF!</definedName>
    <definedName name="F_13_570" localSheetId="7">#REF!</definedName>
    <definedName name="F_13_570" localSheetId="3">#REF!</definedName>
    <definedName name="F_13_570" localSheetId="11">#REF!</definedName>
    <definedName name="F_13_570">#REF!</definedName>
    <definedName name="F_13_60" localSheetId="13">#REF!</definedName>
    <definedName name="F_13_60" localSheetId="14">#REF!</definedName>
    <definedName name="F_13_60" localSheetId="15">#REF!</definedName>
    <definedName name="F_13_60" localSheetId="16">#REF!</definedName>
    <definedName name="F_13_60" localSheetId="17">#REF!</definedName>
    <definedName name="F_13_60" localSheetId="18">#REF!</definedName>
    <definedName name="F_13_60" localSheetId="20">#REF!</definedName>
    <definedName name="F_13_60" localSheetId="21">#REF!</definedName>
    <definedName name="F_13_60" localSheetId="7">#REF!</definedName>
    <definedName name="F_13_60" localSheetId="3">#REF!</definedName>
    <definedName name="F_13_60" localSheetId="11">#REF!</definedName>
    <definedName name="F_13_60">#REF!</definedName>
    <definedName name="F_13_600" localSheetId="13">#REF!</definedName>
    <definedName name="F_13_600" localSheetId="14">#REF!</definedName>
    <definedName name="F_13_600" localSheetId="15">#REF!</definedName>
    <definedName name="F_13_600" localSheetId="16">#REF!</definedName>
    <definedName name="F_13_600" localSheetId="17">#REF!</definedName>
    <definedName name="F_13_600" localSheetId="18">#REF!</definedName>
    <definedName name="F_13_600" localSheetId="20">#REF!</definedName>
    <definedName name="F_13_600" localSheetId="21">#REF!</definedName>
    <definedName name="F_13_600" localSheetId="7">#REF!</definedName>
    <definedName name="F_13_600" localSheetId="3">#REF!</definedName>
    <definedName name="F_13_600" localSheetId="11">#REF!</definedName>
    <definedName name="F_13_600">#REF!</definedName>
    <definedName name="F_13_630" localSheetId="13">#REF!</definedName>
    <definedName name="F_13_630" localSheetId="14">#REF!</definedName>
    <definedName name="F_13_630" localSheetId="15">#REF!</definedName>
    <definedName name="F_13_630" localSheetId="16">#REF!</definedName>
    <definedName name="F_13_630" localSheetId="17">#REF!</definedName>
    <definedName name="F_13_630" localSheetId="18">#REF!</definedName>
    <definedName name="F_13_630" localSheetId="20">#REF!</definedName>
    <definedName name="F_13_630" localSheetId="21">#REF!</definedName>
    <definedName name="F_13_630" localSheetId="7">#REF!</definedName>
    <definedName name="F_13_630" localSheetId="3">#REF!</definedName>
    <definedName name="F_13_630" localSheetId="11">#REF!</definedName>
    <definedName name="F_13_630">#REF!</definedName>
    <definedName name="F_13_660" localSheetId="13">#REF!</definedName>
    <definedName name="F_13_660" localSheetId="14">#REF!</definedName>
    <definedName name="F_13_660" localSheetId="15">#REF!</definedName>
    <definedName name="F_13_660" localSheetId="16">#REF!</definedName>
    <definedName name="F_13_660" localSheetId="17">#REF!</definedName>
    <definedName name="F_13_660" localSheetId="18">#REF!</definedName>
    <definedName name="F_13_660" localSheetId="20">#REF!</definedName>
    <definedName name="F_13_660" localSheetId="21">#REF!</definedName>
    <definedName name="F_13_660" localSheetId="7">#REF!</definedName>
    <definedName name="F_13_660" localSheetId="3">#REF!</definedName>
    <definedName name="F_13_660" localSheetId="11">#REF!</definedName>
    <definedName name="F_13_660">#REF!</definedName>
    <definedName name="F_13_690" localSheetId="13">#REF!</definedName>
    <definedName name="F_13_690" localSheetId="14">#REF!</definedName>
    <definedName name="F_13_690" localSheetId="15">#REF!</definedName>
    <definedName name="F_13_690" localSheetId="16">#REF!</definedName>
    <definedName name="F_13_690" localSheetId="17">#REF!</definedName>
    <definedName name="F_13_690" localSheetId="18">#REF!</definedName>
    <definedName name="F_13_690" localSheetId="20">#REF!</definedName>
    <definedName name="F_13_690" localSheetId="21">#REF!</definedName>
    <definedName name="F_13_690" localSheetId="7">#REF!</definedName>
    <definedName name="F_13_690" localSheetId="3">#REF!</definedName>
    <definedName name="F_13_690" localSheetId="11">#REF!</definedName>
    <definedName name="F_13_690">#REF!</definedName>
    <definedName name="F_13_720" localSheetId="13">#REF!</definedName>
    <definedName name="F_13_720" localSheetId="14">#REF!</definedName>
    <definedName name="F_13_720" localSheetId="15">#REF!</definedName>
    <definedName name="F_13_720" localSheetId="16">#REF!</definedName>
    <definedName name="F_13_720" localSheetId="17">#REF!</definedName>
    <definedName name="F_13_720" localSheetId="18">#REF!</definedName>
    <definedName name="F_13_720" localSheetId="20">#REF!</definedName>
    <definedName name="F_13_720" localSheetId="21">#REF!</definedName>
    <definedName name="F_13_720" localSheetId="7">#REF!</definedName>
    <definedName name="F_13_720" localSheetId="3">#REF!</definedName>
    <definedName name="F_13_720" localSheetId="11">#REF!</definedName>
    <definedName name="F_13_720">#REF!</definedName>
    <definedName name="F_13_90" localSheetId="13">#REF!</definedName>
    <definedName name="F_13_90" localSheetId="14">#REF!</definedName>
    <definedName name="F_13_90" localSheetId="15">#REF!</definedName>
    <definedName name="F_13_90" localSheetId="16">#REF!</definedName>
    <definedName name="F_13_90" localSheetId="17">#REF!</definedName>
    <definedName name="F_13_90" localSheetId="18">#REF!</definedName>
    <definedName name="F_13_90" localSheetId="20">#REF!</definedName>
    <definedName name="F_13_90" localSheetId="21">#REF!</definedName>
    <definedName name="F_13_90" localSheetId="7">#REF!</definedName>
    <definedName name="F_13_90" localSheetId="3">#REF!</definedName>
    <definedName name="F_13_90" localSheetId="11">#REF!</definedName>
    <definedName name="F_13_90">#REF!</definedName>
    <definedName name="F_14_120" localSheetId="13">#REF!</definedName>
    <definedName name="F_14_120" localSheetId="14">#REF!</definedName>
    <definedName name="F_14_120" localSheetId="15">#REF!</definedName>
    <definedName name="F_14_120" localSheetId="16">#REF!</definedName>
    <definedName name="F_14_120" localSheetId="17">#REF!</definedName>
    <definedName name="F_14_120" localSheetId="18">#REF!</definedName>
    <definedName name="F_14_120" localSheetId="20">#REF!</definedName>
    <definedName name="F_14_120" localSheetId="21">#REF!</definedName>
    <definedName name="F_14_120" localSheetId="7">#REF!</definedName>
    <definedName name="F_14_120" localSheetId="3">#REF!</definedName>
    <definedName name="F_14_120" localSheetId="11">#REF!</definedName>
    <definedName name="F_14_120">#REF!</definedName>
    <definedName name="F_14_150" localSheetId="13">#REF!</definedName>
    <definedName name="F_14_150" localSheetId="14">#REF!</definedName>
    <definedName name="F_14_150" localSheetId="15">#REF!</definedName>
    <definedName name="F_14_150" localSheetId="16">#REF!</definedName>
    <definedName name="F_14_150" localSheetId="17">#REF!</definedName>
    <definedName name="F_14_150" localSheetId="18">#REF!</definedName>
    <definedName name="F_14_150" localSheetId="20">#REF!</definedName>
    <definedName name="F_14_150" localSheetId="21">#REF!</definedName>
    <definedName name="F_14_150" localSheetId="7">#REF!</definedName>
    <definedName name="F_14_150" localSheetId="3">#REF!</definedName>
    <definedName name="F_14_150" localSheetId="11">#REF!</definedName>
    <definedName name="F_14_150">#REF!</definedName>
    <definedName name="F_14_180" localSheetId="13">#REF!</definedName>
    <definedName name="F_14_180" localSheetId="14">#REF!</definedName>
    <definedName name="F_14_180" localSheetId="15">#REF!</definedName>
    <definedName name="F_14_180" localSheetId="16">#REF!</definedName>
    <definedName name="F_14_180" localSheetId="17">#REF!</definedName>
    <definedName name="F_14_180" localSheetId="18">#REF!</definedName>
    <definedName name="F_14_180" localSheetId="20">#REF!</definedName>
    <definedName name="F_14_180" localSheetId="21">#REF!</definedName>
    <definedName name="F_14_180" localSheetId="7">#REF!</definedName>
    <definedName name="F_14_180" localSheetId="3">#REF!</definedName>
    <definedName name="F_14_180" localSheetId="11">#REF!</definedName>
    <definedName name="F_14_180">#REF!</definedName>
    <definedName name="F_14_210" localSheetId="13">#REF!</definedName>
    <definedName name="F_14_210" localSheetId="14">#REF!</definedName>
    <definedName name="F_14_210" localSheetId="15">#REF!</definedName>
    <definedName name="F_14_210" localSheetId="16">#REF!</definedName>
    <definedName name="F_14_210" localSheetId="17">#REF!</definedName>
    <definedName name="F_14_210" localSheetId="18">#REF!</definedName>
    <definedName name="F_14_210" localSheetId="20">#REF!</definedName>
    <definedName name="F_14_210" localSheetId="21">#REF!</definedName>
    <definedName name="F_14_210" localSheetId="7">#REF!</definedName>
    <definedName name="F_14_210" localSheetId="3">#REF!</definedName>
    <definedName name="F_14_210" localSheetId="11">#REF!</definedName>
    <definedName name="F_14_210">#REF!</definedName>
    <definedName name="F_14_240" localSheetId="13">#REF!</definedName>
    <definedName name="F_14_240" localSheetId="14">#REF!</definedName>
    <definedName name="F_14_240" localSheetId="15">#REF!</definedName>
    <definedName name="F_14_240" localSheetId="16">#REF!</definedName>
    <definedName name="F_14_240" localSheetId="17">#REF!</definedName>
    <definedName name="F_14_240" localSheetId="18">#REF!</definedName>
    <definedName name="F_14_240" localSheetId="20">#REF!</definedName>
    <definedName name="F_14_240" localSheetId="21">#REF!</definedName>
    <definedName name="F_14_240" localSheetId="7">#REF!</definedName>
    <definedName name="F_14_240" localSheetId="3">#REF!</definedName>
    <definedName name="F_14_240" localSheetId="11">#REF!</definedName>
    <definedName name="F_14_240">#REF!</definedName>
    <definedName name="F_14_270" localSheetId="13">#REF!</definedName>
    <definedName name="F_14_270" localSheetId="14">#REF!</definedName>
    <definedName name="F_14_270" localSheetId="15">#REF!</definedName>
    <definedName name="F_14_270" localSheetId="16">#REF!</definedName>
    <definedName name="F_14_270" localSheetId="17">#REF!</definedName>
    <definedName name="F_14_270" localSheetId="18">#REF!</definedName>
    <definedName name="F_14_270" localSheetId="20">#REF!</definedName>
    <definedName name="F_14_270" localSheetId="21">#REF!</definedName>
    <definedName name="F_14_270" localSheetId="7">#REF!</definedName>
    <definedName name="F_14_270" localSheetId="3">#REF!</definedName>
    <definedName name="F_14_270" localSheetId="11">#REF!</definedName>
    <definedName name="F_14_270">#REF!</definedName>
    <definedName name="F_14_30" localSheetId="13">#REF!</definedName>
    <definedName name="F_14_30" localSheetId="14">#REF!</definedName>
    <definedName name="F_14_30" localSheetId="15">#REF!</definedName>
    <definedName name="F_14_30" localSheetId="16">#REF!</definedName>
    <definedName name="F_14_30" localSheetId="17">#REF!</definedName>
    <definedName name="F_14_30" localSheetId="18">#REF!</definedName>
    <definedName name="F_14_30" localSheetId="20">#REF!</definedName>
    <definedName name="F_14_30" localSheetId="21">#REF!</definedName>
    <definedName name="F_14_30" localSheetId="7">#REF!</definedName>
    <definedName name="F_14_30" localSheetId="3">#REF!</definedName>
    <definedName name="F_14_30" localSheetId="11">#REF!</definedName>
    <definedName name="F_14_30">#REF!</definedName>
    <definedName name="F_14_300" localSheetId="13">#REF!</definedName>
    <definedName name="F_14_300" localSheetId="14">#REF!</definedName>
    <definedName name="F_14_300" localSheetId="15">#REF!</definedName>
    <definedName name="F_14_300" localSheetId="16">#REF!</definedName>
    <definedName name="F_14_300" localSheetId="17">#REF!</definedName>
    <definedName name="F_14_300" localSheetId="18">#REF!</definedName>
    <definedName name="F_14_300" localSheetId="20">#REF!</definedName>
    <definedName name="F_14_300" localSheetId="21">#REF!</definedName>
    <definedName name="F_14_300" localSheetId="7">#REF!</definedName>
    <definedName name="F_14_300" localSheetId="3">#REF!</definedName>
    <definedName name="F_14_300" localSheetId="11">#REF!</definedName>
    <definedName name="F_14_300">#REF!</definedName>
    <definedName name="F_14_330" localSheetId="13">#REF!</definedName>
    <definedName name="F_14_330" localSheetId="14">#REF!</definedName>
    <definedName name="F_14_330" localSheetId="15">#REF!</definedName>
    <definedName name="F_14_330" localSheetId="16">#REF!</definedName>
    <definedName name="F_14_330" localSheetId="17">#REF!</definedName>
    <definedName name="F_14_330" localSheetId="18">#REF!</definedName>
    <definedName name="F_14_330" localSheetId="20">#REF!</definedName>
    <definedName name="F_14_330" localSheetId="21">#REF!</definedName>
    <definedName name="F_14_330" localSheetId="7">#REF!</definedName>
    <definedName name="F_14_330" localSheetId="3">#REF!</definedName>
    <definedName name="F_14_330" localSheetId="11">#REF!</definedName>
    <definedName name="F_14_330">#REF!</definedName>
    <definedName name="F_14_360" localSheetId="13">#REF!</definedName>
    <definedName name="F_14_360" localSheetId="14">#REF!</definedName>
    <definedName name="F_14_360" localSheetId="15">#REF!</definedName>
    <definedName name="F_14_360" localSheetId="16">#REF!</definedName>
    <definedName name="F_14_360" localSheetId="17">#REF!</definedName>
    <definedName name="F_14_360" localSheetId="18">#REF!</definedName>
    <definedName name="F_14_360" localSheetId="20">#REF!</definedName>
    <definedName name="F_14_360" localSheetId="21">#REF!</definedName>
    <definedName name="F_14_360" localSheetId="7">#REF!</definedName>
    <definedName name="F_14_360" localSheetId="3">#REF!</definedName>
    <definedName name="F_14_360" localSheetId="11">#REF!</definedName>
    <definedName name="F_14_360">#REF!</definedName>
    <definedName name="F_14_390" localSheetId="13">#REF!</definedName>
    <definedName name="F_14_390" localSheetId="14">#REF!</definedName>
    <definedName name="F_14_390" localSheetId="15">#REF!</definedName>
    <definedName name="F_14_390" localSheetId="16">#REF!</definedName>
    <definedName name="F_14_390" localSheetId="17">#REF!</definedName>
    <definedName name="F_14_390" localSheetId="18">#REF!</definedName>
    <definedName name="F_14_390" localSheetId="20">#REF!</definedName>
    <definedName name="F_14_390" localSheetId="21">#REF!</definedName>
    <definedName name="F_14_390" localSheetId="7">#REF!</definedName>
    <definedName name="F_14_390" localSheetId="3">#REF!</definedName>
    <definedName name="F_14_390" localSheetId="11">#REF!</definedName>
    <definedName name="F_14_390">#REF!</definedName>
    <definedName name="F_14_420" localSheetId="13">#REF!</definedName>
    <definedName name="F_14_420" localSheetId="14">#REF!</definedName>
    <definedName name="F_14_420" localSheetId="15">#REF!</definedName>
    <definedName name="F_14_420" localSheetId="16">#REF!</definedName>
    <definedName name="F_14_420" localSheetId="17">#REF!</definedName>
    <definedName name="F_14_420" localSheetId="18">#REF!</definedName>
    <definedName name="F_14_420" localSheetId="20">#REF!</definedName>
    <definedName name="F_14_420" localSheetId="21">#REF!</definedName>
    <definedName name="F_14_420" localSheetId="7">#REF!</definedName>
    <definedName name="F_14_420" localSheetId="3">#REF!</definedName>
    <definedName name="F_14_420" localSheetId="11">#REF!</definedName>
    <definedName name="F_14_420">#REF!</definedName>
    <definedName name="F_14_450" localSheetId="13">#REF!</definedName>
    <definedName name="F_14_450" localSheetId="14">#REF!</definedName>
    <definedName name="F_14_450" localSheetId="15">#REF!</definedName>
    <definedName name="F_14_450" localSheetId="16">#REF!</definedName>
    <definedName name="F_14_450" localSheetId="17">#REF!</definedName>
    <definedName name="F_14_450" localSheetId="18">#REF!</definedName>
    <definedName name="F_14_450" localSheetId="20">#REF!</definedName>
    <definedName name="F_14_450" localSheetId="21">#REF!</definedName>
    <definedName name="F_14_450" localSheetId="7">#REF!</definedName>
    <definedName name="F_14_450" localSheetId="3">#REF!</definedName>
    <definedName name="F_14_450" localSheetId="11">#REF!</definedName>
    <definedName name="F_14_450">#REF!</definedName>
    <definedName name="F_14_480" localSheetId="13">#REF!</definedName>
    <definedName name="F_14_480" localSheetId="14">#REF!</definedName>
    <definedName name="F_14_480" localSheetId="15">#REF!</definedName>
    <definedName name="F_14_480" localSheetId="16">#REF!</definedName>
    <definedName name="F_14_480" localSheetId="17">#REF!</definedName>
    <definedName name="F_14_480" localSheetId="18">#REF!</definedName>
    <definedName name="F_14_480" localSheetId="20">#REF!</definedName>
    <definedName name="F_14_480" localSheetId="21">#REF!</definedName>
    <definedName name="F_14_480" localSheetId="7">#REF!</definedName>
    <definedName name="F_14_480" localSheetId="3">#REF!</definedName>
    <definedName name="F_14_480" localSheetId="11">#REF!</definedName>
    <definedName name="F_14_480">#REF!</definedName>
    <definedName name="F_14_510" localSheetId="13">#REF!</definedName>
    <definedName name="F_14_510" localSheetId="14">#REF!</definedName>
    <definedName name="F_14_510" localSheetId="15">#REF!</definedName>
    <definedName name="F_14_510" localSheetId="16">#REF!</definedName>
    <definedName name="F_14_510" localSheetId="17">#REF!</definedName>
    <definedName name="F_14_510" localSheetId="18">#REF!</definedName>
    <definedName name="F_14_510" localSheetId="20">#REF!</definedName>
    <definedName name="F_14_510" localSheetId="21">#REF!</definedName>
    <definedName name="F_14_510" localSheetId="7">#REF!</definedName>
    <definedName name="F_14_510" localSheetId="3">#REF!</definedName>
    <definedName name="F_14_510" localSheetId="11">#REF!</definedName>
    <definedName name="F_14_510">#REF!</definedName>
    <definedName name="F_14_540" localSheetId="13">#REF!</definedName>
    <definedName name="F_14_540" localSheetId="14">#REF!</definedName>
    <definedName name="F_14_540" localSheetId="15">#REF!</definedName>
    <definedName name="F_14_540" localSheetId="16">#REF!</definedName>
    <definedName name="F_14_540" localSheetId="17">#REF!</definedName>
    <definedName name="F_14_540" localSheetId="18">#REF!</definedName>
    <definedName name="F_14_540" localSheetId="20">#REF!</definedName>
    <definedName name="F_14_540" localSheetId="21">#REF!</definedName>
    <definedName name="F_14_540" localSheetId="7">#REF!</definedName>
    <definedName name="F_14_540" localSheetId="3">#REF!</definedName>
    <definedName name="F_14_540" localSheetId="11">#REF!</definedName>
    <definedName name="F_14_540">#REF!</definedName>
    <definedName name="F_14_570" localSheetId="13">#REF!</definedName>
    <definedName name="F_14_570" localSheetId="14">#REF!</definedName>
    <definedName name="F_14_570" localSheetId="15">#REF!</definedName>
    <definedName name="F_14_570" localSheetId="16">#REF!</definedName>
    <definedName name="F_14_570" localSheetId="17">#REF!</definedName>
    <definedName name="F_14_570" localSheetId="18">#REF!</definedName>
    <definedName name="F_14_570" localSheetId="20">#REF!</definedName>
    <definedName name="F_14_570" localSheetId="21">#REF!</definedName>
    <definedName name="F_14_570" localSheetId="7">#REF!</definedName>
    <definedName name="F_14_570" localSheetId="3">#REF!</definedName>
    <definedName name="F_14_570" localSheetId="11">#REF!</definedName>
    <definedName name="F_14_570">#REF!</definedName>
    <definedName name="F_14_60" localSheetId="13">#REF!</definedName>
    <definedName name="F_14_60" localSheetId="14">#REF!</definedName>
    <definedName name="F_14_60" localSheetId="15">#REF!</definedName>
    <definedName name="F_14_60" localSheetId="16">#REF!</definedName>
    <definedName name="F_14_60" localSheetId="17">#REF!</definedName>
    <definedName name="F_14_60" localSheetId="18">#REF!</definedName>
    <definedName name="F_14_60" localSheetId="20">#REF!</definedName>
    <definedName name="F_14_60" localSheetId="21">#REF!</definedName>
    <definedName name="F_14_60" localSheetId="7">#REF!</definedName>
    <definedName name="F_14_60" localSheetId="3">#REF!</definedName>
    <definedName name="F_14_60" localSheetId="11">#REF!</definedName>
    <definedName name="F_14_60">#REF!</definedName>
    <definedName name="F_14_600" localSheetId="13">#REF!</definedName>
    <definedName name="F_14_600" localSheetId="14">#REF!</definedName>
    <definedName name="F_14_600" localSheetId="15">#REF!</definedName>
    <definedName name="F_14_600" localSheetId="16">#REF!</definedName>
    <definedName name="F_14_600" localSheetId="17">#REF!</definedName>
    <definedName name="F_14_600" localSheetId="18">#REF!</definedName>
    <definedName name="F_14_600" localSheetId="20">#REF!</definedName>
    <definedName name="F_14_600" localSheetId="21">#REF!</definedName>
    <definedName name="F_14_600" localSheetId="7">#REF!</definedName>
    <definedName name="F_14_600" localSheetId="3">#REF!</definedName>
    <definedName name="F_14_600" localSheetId="11">#REF!</definedName>
    <definedName name="F_14_600">#REF!</definedName>
    <definedName name="F_14_630" localSheetId="13">#REF!</definedName>
    <definedName name="F_14_630" localSheetId="14">#REF!</definedName>
    <definedName name="F_14_630" localSheetId="15">#REF!</definedName>
    <definedName name="F_14_630" localSheetId="16">#REF!</definedName>
    <definedName name="F_14_630" localSheetId="17">#REF!</definedName>
    <definedName name="F_14_630" localSheetId="18">#REF!</definedName>
    <definedName name="F_14_630" localSheetId="20">#REF!</definedName>
    <definedName name="F_14_630" localSheetId="21">#REF!</definedName>
    <definedName name="F_14_630" localSheetId="7">#REF!</definedName>
    <definedName name="F_14_630" localSheetId="3">#REF!</definedName>
    <definedName name="F_14_630" localSheetId="11">#REF!</definedName>
    <definedName name="F_14_630">#REF!</definedName>
    <definedName name="F_14_660" localSheetId="13">#REF!</definedName>
    <definedName name="F_14_660" localSheetId="14">#REF!</definedName>
    <definedName name="F_14_660" localSheetId="15">#REF!</definedName>
    <definedName name="F_14_660" localSheetId="16">#REF!</definedName>
    <definedName name="F_14_660" localSheetId="17">#REF!</definedName>
    <definedName name="F_14_660" localSheetId="18">#REF!</definedName>
    <definedName name="F_14_660" localSheetId="20">#REF!</definedName>
    <definedName name="F_14_660" localSheetId="21">#REF!</definedName>
    <definedName name="F_14_660" localSheetId="7">#REF!</definedName>
    <definedName name="F_14_660" localSheetId="3">#REF!</definedName>
    <definedName name="F_14_660" localSheetId="11">#REF!</definedName>
    <definedName name="F_14_660">#REF!</definedName>
    <definedName name="F_14_690" localSheetId="13">#REF!</definedName>
    <definedName name="F_14_690" localSheetId="14">#REF!</definedName>
    <definedName name="F_14_690" localSheetId="15">#REF!</definedName>
    <definedName name="F_14_690" localSheetId="16">#REF!</definedName>
    <definedName name="F_14_690" localSheetId="17">#REF!</definedName>
    <definedName name="F_14_690" localSheetId="18">#REF!</definedName>
    <definedName name="F_14_690" localSheetId="20">#REF!</definedName>
    <definedName name="F_14_690" localSheetId="21">#REF!</definedName>
    <definedName name="F_14_690" localSheetId="7">#REF!</definedName>
    <definedName name="F_14_690" localSheetId="3">#REF!</definedName>
    <definedName name="F_14_690" localSheetId="11">#REF!</definedName>
    <definedName name="F_14_690">#REF!</definedName>
    <definedName name="F_14_720" localSheetId="13">#REF!</definedName>
    <definedName name="F_14_720" localSheetId="14">#REF!</definedName>
    <definedName name="F_14_720" localSheetId="15">#REF!</definedName>
    <definedName name="F_14_720" localSheetId="16">#REF!</definedName>
    <definedName name="F_14_720" localSheetId="17">#REF!</definedName>
    <definedName name="F_14_720" localSheetId="18">#REF!</definedName>
    <definedName name="F_14_720" localSheetId="20">#REF!</definedName>
    <definedName name="F_14_720" localSheetId="21">#REF!</definedName>
    <definedName name="F_14_720" localSheetId="7">#REF!</definedName>
    <definedName name="F_14_720" localSheetId="3">#REF!</definedName>
    <definedName name="F_14_720" localSheetId="11">#REF!</definedName>
    <definedName name="F_14_720">#REF!</definedName>
    <definedName name="F_14_90" localSheetId="13">#REF!</definedName>
    <definedName name="F_14_90" localSheetId="14">#REF!</definedName>
    <definedName name="F_14_90" localSheetId="15">#REF!</definedName>
    <definedName name="F_14_90" localSheetId="16">#REF!</definedName>
    <definedName name="F_14_90" localSheetId="17">#REF!</definedName>
    <definedName name="F_14_90" localSheetId="18">#REF!</definedName>
    <definedName name="F_14_90" localSheetId="20">#REF!</definedName>
    <definedName name="F_14_90" localSheetId="21">#REF!</definedName>
    <definedName name="F_14_90" localSheetId="7">#REF!</definedName>
    <definedName name="F_14_90" localSheetId="3">#REF!</definedName>
    <definedName name="F_14_90" localSheetId="11">#REF!</definedName>
    <definedName name="F_14_90">#REF!</definedName>
    <definedName name="F_15_120" localSheetId="13">#REF!</definedName>
    <definedName name="F_15_120" localSheetId="14">#REF!</definedName>
    <definedName name="F_15_120" localSheetId="15">#REF!</definedName>
    <definedName name="F_15_120" localSheetId="16">#REF!</definedName>
    <definedName name="F_15_120" localSheetId="17">#REF!</definedName>
    <definedName name="F_15_120" localSheetId="18">#REF!</definedName>
    <definedName name="F_15_120" localSheetId="20">#REF!</definedName>
    <definedName name="F_15_120" localSheetId="21">#REF!</definedName>
    <definedName name="F_15_120" localSheetId="7">#REF!</definedName>
    <definedName name="F_15_120" localSheetId="3">#REF!</definedName>
    <definedName name="F_15_120" localSheetId="11">#REF!</definedName>
    <definedName name="F_15_120">#REF!</definedName>
    <definedName name="F_15_150" localSheetId="13">#REF!</definedName>
    <definedName name="F_15_150" localSheetId="14">#REF!</definedName>
    <definedName name="F_15_150" localSheetId="15">#REF!</definedName>
    <definedName name="F_15_150" localSheetId="16">#REF!</definedName>
    <definedName name="F_15_150" localSheetId="17">#REF!</definedName>
    <definedName name="F_15_150" localSheetId="18">#REF!</definedName>
    <definedName name="F_15_150" localSheetId="20">#REF!</definedName>
    <definedName name="F_15_150" localSheetId="21">#REF!</definedName>
    <definedName name="F_15_150" localSheetId="7">#REF!</definedName>
    <definedName name="F_15_150" localSheetId="3">#REF!</definedName>
    <definedName name="F_15_150" localSheetId="11">#REF!</definedName>
    <definedName name="F_15_150">#REF!</definedName>
    <definedName name="F_15_180" localSheetId="13">#REF!</definedName>
    <definedName name="F_15_180" localSheetId="14">#REF!</definedName>
    <definedName name="F_15_180" localSheetId="15">#REF!</definedName>
    <definedName name="F_15_180" localSheetId="16">#REF!</definedName>
    <definedName name="F_15_180" localSheetId="17">#REF!</definedName>
    <definedName name="F_15_180" localSheetId="18">#REF!</definedName>
    <definedName name="F_15_180" localSheetId="20">#REF!</definedName>
    <definedName name="F_15_180" localSheetId="21">#REF!</definedName>
    <definedName name="F_15_180" localSheetId="7">#REF!</definedName>
    <definedName name="F_15_180" localSheetId="3">#REF!</definedName>
    <definedName name="F_15_180" localSheetId="11">#REF!</definedName>
    <definedName name="F_15_180">#REF!</definedName>
    <definedName name="F_15_210" localSheetId="13">#REF!</definedName>
    <definedName name="F_15_210" localSheetId="14">#REF!</definedName>
    <definedName name="F_15_210" localSheetId="15">#REF!</definedName>
    <definedName name="F_15_210" localSheetId="16">#REF!</definedName>
    <definedName name="F_15_210" localSheetId="17">#REF!</definedName>
    <definedName name="F_15_210" localSheetId="18">#REF!</definedName>
    <definedName name="F_15_210" localSheetId="20">#REF!</definedName>
    <definedName name="F_15_210" localSheetId="21">#REF!</definedName>
    <definedName name="F_15_210" localSheetId="7">#REF!</definedName>
    <definedName name="F_15_210" localSheetId="3">#REF!</definedName>
    <definedName name="F_15_210" localSheetId="11">#REF!</definedName>
    <definedName name="F_15_210">#REF!</definedName>
    <definedName name="F_15_240" localSheetId="13">#REF!</definedName>
    <definedName name="F_15_240" localSheetId="14">#REF!</definedName>
    <definedName name="F_15_240" localSheetId="15">#REF!</definedName>
    <definedName name="F_15_240" localSheetId="16">#REF!</definedName>
    <definedName name="F_15_240" localSheetId="17">#REF!</definedName>
    <definedName name="F_15_240" localSheetId="18">#REF!</definedName>
    <definedName name="F_15_240" localSheetId="20">#REF!</definedName>
    <definedName name="F_15_240" localSheetId="21">#REF!</definedName>
    <definedName name="F_15_240" localSheetId="7">#REF!</definedName>
    <definedName name="F_15_240" localSheetId="3">#REF!</definedName>
    <definedName name="F_15_240" localSheetId="11">#REF!</definedName>
    <definedName name="F_15_240">#REF!</definedName>
    <definedName name="F_15_270" localSheetId="13">#REF!</definedName>
    <definedName name="F_15_270" localSheetId="14">#REF!</definedName>
    <definedName name="F_15_270" localSheetId="15">#REF!</definedName>
    <definedName name="F_15_270" localSheetId="16">#REF!</definedName>
    <definedName name="F_15_270" localSheetId="17">#REF!</definedName>
    <definedName name="F_15_270" localSheetId="18">#REF!</definedName>
    <definedName name="F_15_270" localSheetId="20">#REF!</definedName>
    <definedName name="F_15_270" localSheetId="21">#REF!</definedName>
    <definedName name="F_15_270" localSheetId="7">#REF!</definedName>
    <definedName name="F_15_270" localSheetId="3">#REF!</definedName>
    <definedName name="F_15_270" localSheetId="11">#REF!</definedName>
    <definedName name="F_15_270">#REF!</definedName>
    <definedName name="F_15_30" localSheetId="13">#REF!</definedName>
    <definedName name="F_15_30" localSheetId="14">#REF!</definedName>
    <definedName name="F_15_30" localSheetId="15">#REF!</definedName>
    <definedName name="F_15_30" localSheetId="16">#REF!</definedName>
    <definedName name="F_15_30" localSheetId="17">#REF!</definedName>
    <definedName name="F_15_30" localSheetId="18">#REF!</definedName>
    <definedName name="F_15_30" localSheetId="20">#REF!</definedName>
    <definedName name="F_15_30" localSheetId="21">#REF!</definedName>
    <definedName name="F_15_30" localSheetId="7">#REF!</definedName>
    <definedName name="F_15_30" localSheetId="3">#REF!</definedName>
    <definedName name="F_15_30" localSheetId="11">#REF!</definedName>
    <definedName name="F_15_30">#REF!</definedName>
    <definedName name="F_15_300" localSheetId="13">#REF!</definedName>
    <definedName name="F_15_300" localSheetId="14">#REF!</definedName>
    <definedName name="F_15_300" localSheetId="15">#REF!</definedName>
    <definedName name="F_15_300" localSheetId="16">#REF!</definedName>
    <definedName name="F_15_300" localSheetId="17">#REF!</definedName>
    <definedName name="F_15_300" localSheetId="18">#REF!</definedName>
    <definedName name="F_15_300" localSheetId="20">#REF!</definedName>
    <definedName name="F_15_300" localSheetId="21">#REF!</definedName>
    <definedName name="F_15_300" localSheetId="7">#REF!</definedName>
    <definedName name="F_15_300" localSheetId="3">#REF!</definedName>
    <definedName name="F_15_300" localSheetId="11">#REF!</definedName>
    <definedName name="F_15_300">#REF!</definedName>
    <definedName name="F_15_330" localSheetId="13">#REF!</definedName>
    <definedName name="F_15_330" localSheetId="14">#REF!</definedName>
    <definedName name="F_15_330" localSheetId="15">#REF!</definedName>
    <definedName name="F_15_330" localSheetId="16">#REF!</definedName>
    <definedName name="F_15_330" localSheetId="17">#REF!</definedName>
    <definedName name="F_15_330" localSheetId="18">#REF!</definedName>
    <definedName name="F_15_330" localSheetId="20">#REF!</definedName>
    <definedName name="F_15_330" localSheetId="21">#REF!</definedName>
    <definedName name="F_15_330" localSheetId="7">#REF!</definedName>
    <definedName name="F_15_330" localSheetId="3">#REF!</definedName>
    <definedName name="F_15_330" localSheetId="11">#REF!</definedName>
    <definedName name="F_15_330">#REF!</definedName>
    <definedName name="F_15_360" localSheetId="13">#REF!</definedName>
    <definedName name="F_15_360" localSheetId="14">#REF!</definedName>
    <definedName name="F_15_360" localSheetId="15">#REF!</definedName>
    <definedName name="F_15_360" localSheetId="16">#REF!</definedName>
    <definedName name="F_15_360" localSheetId="17">#REF!</definedName>
    <definedName name="F_15_360" localSheetId="18">#REF!</definedName>
    <definedName name="F_15_360" localSheetId="20">#REF!</definedName>
    <definedName name="F_15_360" localSheetId="21">#REF!</definedName>
    <definedName name="F_15_360" localSheetId="7">#REF!</definedName>
    <definedName name="F_15_360" localSheetId="3">#REF!</definedName>
    <definedName name="F_15_360" localSheetId="11">#REF!</definedName>
    <definedName name="F_15_360">#REF!</definedName>
    <definedName name="F_15_390" localSheetId="13">#REF!</definedName>
    <definedName name="F_15_390" localSheetId="14">#REF!</definedName>
    <definedName name="F_15_390" localSheetId="15">#REF!</definedName>
    <definedName name="F_15_390" localSheetId="16">#REF!</definedName>
    <definedName name="F_15_390" localSheetId="17">#REF!</definedName>
    <definedName name="F_15_390" localSheetId="18">#REF!</definedName>
    <definedName name="F_15_390" localSheetId="20">#REF!</definedName>
    <definedName name="F_15_390" localSheetId="21">#REF!</definedName>
    <definedName name="F_15_390" localSheetId="7">#REF!</definedName>
    <definedName name="F_15_390" localSheetId="3">#REF!</definedName>
    <definedName name="F_15_390" localSheetId="11">#REF!</definedName>
    <definedName name="F_15_390">#REF!</definedName>
    <definedName name="F_15_420" localSheetId="13">#REF!</definedName>
    <definedName name="F_15_420" localSheetId="14">#REF!</definedName>
    <definedName name="F_15_420" localSheetId="15">#REF!</definedName>
    <definedName name="F_15_420" localSheetId="16">#REF!</definedName>
    <definedName name="F_15_420" localSheetId="17">#REF!</definedName>
    <definedName name="F_15_420" localSheetId="18">#REF!</definedName>
    <definedName name="F_15_420" localSheetId="20">#REF!</definedName>
    <definedName name="F_15_420" localSheetId="21">#REF!</definedName>
    <definedName name="F_15_420" localSheetId="7">#REF!</definedName>
    <definedName name="F_15_420" localSheetId="3">#REF!</definedName>
    <definedName name="F_15_420" localSheetId="11">#REF!</definedName>
    <definedName name="F_15_420">#REF!</definedName>
    <definedName name="F_15_450" localSheetId="13">#REF!</definedName>
    <definedName name="F_15_450" localSheetId="14">#REF!</definedName>
    <definedName name="F_15_450" localSheetId="15">#REF!</definedName>
    <definedName name="F_15_450" localSheetId="16">#REF!</definedName>
    <definedName name="F_15_450" localSheetId="17">#REF!</definedName>
    <definedName name="F_15_450" localSheetId="18">#REF!</definedName>
    <definedName name="F_15_450" localSheetId="20">#REF!</definedName>
    <definedName name="F_15_450" localSheetId="21">#REF!</definedName>
    <definedName name="F_15_450" localSheetId="7">#REF!</definedName>
    <definedName name="F_15_450" localSheetId="3">#REF!</definedName>
    <definedName name="F_15_450" localSheetId="11">#REF!</definedName>
    <definedName name="F_15_450">#REF!</definedName>
    <definedName name="F_15_480" localSheetId="13">#REF!</definedName>
    <definedName name="F_15_480" localSheetId="14">#REF!</definedName>
    <definedName name="F_15_480" localSheetId="15">#REF!</definedName>
    <definedName name="F_15_480" localSheetId="16">#REF!</definedName>
    <definedName name="F_15_480" localSheetId="17">#REF!</definedName>
    <definedName name="F_15_480" localSheetId="18">#REF!</definedName>
    <definedName name="F_15_480" localSheetId="20">#REF!</definedName>
    <definedName name="F_15_480" localSheetId="21">#REF!</definedName>
    <definedName name="F_15_480" localSheetId="7">#REF!</definedName>
    <definedName name="F_15_480" localSheetId="3">#REF!</definedName>
    <definedName name="F_15_480" localSheetId="11">#REF!</definedName>
    <definedName name="F_15_480">#REF!</definedName>
    <definedName name="F_15_510" localSheetId="13">#REF!</definedName>
    <definedName name="F_15_510" localSheetId="14">#REF!</definedName>
    <definedName name="F_15_510" localSheetId="15">#REF!</definedName>
    <definedName name="F_15_510" localSheetId="16">#REF!</definedName>
    <definedName name="F_15_510" localSheetId="17">#REF!</definedName>
    <definedName name="F_15_510" localSheetId="18">#REF!</definedName>
    <definedName name="F_15_510" localSheetId="20">#REF!</definedName>
    <definedName name="F_15_510" localSheetId="21">#REF!</definedName>
    <definedName name="F_15_510" localSheetId="7">#REF!</definedName>
    <definedName name="F_15_510" localSheetId="3">#REF!</definedName>
    <definedName name="F_15_510" localSheetId="11">#REF!</definedName>
    <definedName name="F_15_510">#REF!</definedName>
    <definedName name="F_15_540" localSheetId="13">#REF!</definedName>
    <definedName name="F_15_540" localSheetId="14">#REF!</definedName>
    <definedName name="F_15_540" localSheetId="15">#REF!</definedName>
    <definedName name="F_15_540" localSheetId="16">#REF!</definedName>
    <definedName name="F_15_540" localSheetId="17">#REF!</definedName>
    <definedName name="F_15_540" localSheetId="18">#REF!</definedName>
    <definedName name="F_15_540" localSheetId="20">#REF!</definedName>
    <definedName name="F_15_540" localSheetId="21">#REF!</definedName>
    <definedName name="F_15_540" localSheetId="7">#REF!</definedName>
    <definedName name="F_15_540" localSheetId="3">#REF!</definedName>
    <definedName name="F_15_540" localSheetId="11">#REF!</definedName>
    <definedName name="F_15_540">#REF!</definedName>
    <definedName name="F_15_570" localSheetId="13">#REF!</definedName>
    <definedName name="F_15_570" localSheetId="14">#REF!</definedName>
    <definedName name="F_15_570" localSheetId="15">#REF!</definedName>
    <definedName name="F_15_570" localSheetId="16">#REF!</definedName>
    <definedName name="F_15_570" localSheetId="17">#REF!</definedName>
    <definedName name="F_15_570" localSheetId="18">#REF!</definedName>
    <definedName name="F_15_570" localSheetId="20">#REF!</definedName>
    <definedName name="F_15_570" localSheetId="21">#REF!</definedName>
    <definedName name="F_15_570" localSheetId="7">#REF!</definedName>
    <definedName name="F_15_570" localSheetId="3">#REF!</definedName>
    <definedName name="F_15_570" localSheetId="11">#REF!</definedName>
    <definedName name="F_15_570">#REF!</definedName>
    <definedName name="F_15_60" localSheetId="13">#REF!</definedName>
    <definedName name="F_15_60" localSheetId="14">#REF!</definedName>
    <definedName name="F_15_60" localSheetId="15">#REF!</definedName>
    <definedName name="F_15_60" localSheetId="16">#REF!</definedName>
    <definedName name="F_15_60" localSheetId="17">#REF!</definedName>
    <definedName name="F_15_60" localSheetId="18">#REF!</definedName>
    <definedName name="F_15_60" localSheetId="20">#REF!</definedName>
    <definedName name="F_15_60" localSheetId="21">#REF!</definedName>
    <definedName name="F_15_60" localSheetId="7">#REF!</definedName>
    <definedName name="F_15_60" localSheetId="3">#REF!</definedName>
    <definedName name="F_15_60" localSheetId="11">#REF!</definedName>
    <definedName name="F_15_60">#REF!</definedName>
    <definedName name="F_15_600" localSheetId="13">#REF!</definedName>
    <definedName name="F_15_600" localSheetId="14">#REF!</definedName>
    <definedName name="F_15_600" localSheetId="15">#REF!</definedName>
    <definedName name="F_15_600" localSheetId="16">#REF!</definedName>
    <definedName name="F_15_600" localSheetId="17">#REF!</definedName>
    <definedName name="F_15_600" localSheetId="18">#REF!</definedName>
    <definedName name="F_15_600" localSheetId="20">#REF!</definedName>
    <definedName name="F_15_600" localSheetId="21">#REF!</definedName>
    <definedName name="F_15_600" localSheetId="7">#REF!</definedName>
    <definedName name="F_15_600" localSheetId="3">#REF!</definedName>
    <definedName name="F_15_600" localSheetId="11">#REF!</definedName>
    <definedName name="F_15_600">#REF!</definedName>
    <definedName name="F_15_630" localSheetId="13">#REF!</definedName>
    <definedName name="F_15_630" localSheetId="14">#REF!</definedName>
    <definedName name="F_15_630" localSheetId="15">#REF!</definedName>
    <definedName name="F_15_630" localSheetId="16">#REF!</definedName>
    <definedName name="F_15_630" localSheetId="17">#REF!</definedName>
    <definedName name="F_15_630" localSheetId="18">#REF!</definedName>
    <definedName name="F_15_630" localSheetId="20">#REF!</definedName>
    <definedName name="F_15_630" localSheetId="21">#REF!</definedName>
    <definedName name="F_15_630" localSheetId="7">#REF!</definedName>
    <definedName name="F_15_630" localSheetId="3">#REF!</definedName>
    <definedName name="F_15_630" localSheetId="11">#REF!</definedName>
    <definedName name="F_15_630">#REF!</definedName>
    <definedName name="F_15_660" localSheetId="13">#REF!</definedName>
    <definedName name="F_15_660" localSheetId="14">#REF!</definedName>
    <definedName name="F_15_660" localSheetId="15">#REF!</definedName>
    <definedName name="F_15_660" localSheetId="16">#REF!</definedName>
    <definedName name="F_15_660" localSheetId="17">#REF!</definedName>
    <definedName name="F_15_660" localSheetId="18">#REF!</definedName>
    <definedName name="F_15_660" localSheetId="20">#REF!</definedName>
    <definedName name="F_15_660" localSheetId="21">#REF!</definedName>
    <definedName name="F_15_660" localSheetId="7">#REF!</definedName>
    <definedName name="F_15_660" localSheetId="3">#REF!</definedName>
    <definedName name="F_15_660" localSheetId="11">#REF!</definedName>
    <definedName name="F_15_660">#REF!</definedName>
    <definedName name="F_15_690" localSheetId="13">#REF!</definedName>
    <definedName name="F_15_690" localSheetId="14">#REF!</definedName>
    <definedName name="F_15_690" localSheetId="15">#REF!</definedName>
    <definedName name="F_15_690" localSheetId="16">#REF!</definedName>
    <definedName name="F_15_690" localSheetId="17">#REF!</definedName>
    <definedName name="F_15_690" localSheetId="18">#REF!</definedName>
    <definedName name="F_15_690" localSheetId="20">#REF!</definedName>
    <definedName name="F_15_690" localSheetId="21">#REF!</definedName>
    <definedName name="F_15_690" localSheetId="7">#REF!</definedName>
    <definedName name="F_15_690" localSheetId="3">#REF!</definedName>
    <definedName name="F_15_690" localSheetId="11">#REF!</definedName>
    <definedName name="F_15_690">#REF!</definedName>
    <definedName name="F_15_720" localSheetId="13">#REF!</definedName>
    <definedName name="F_15_720" localSheetId="14">#REF!</definedName>
    <definedName name="F_15_720" localSheetId="15">#REF!</definedName>
    <definedName name="F_15_720" localSheetId="16">#REF!</definedName>
    <definedName name="F_15_720" localSheetId="17">#REF!</definedName>
    <definedName name="F_15_720" localSheetId="18">#REF!</definedName>
    <definedName name="F_15_720" localSheetId="20">#REF!</definedName>
    <definedName name="F_15_720" localSheetId="21">#REF!</definedName>
    <definedName name="F_15_720" localSheetId="7">#REF!</definedName>
    <definedName name="F_15_720" localSheetId="3">#REF!</definedName>
    <definedName name="F_15_720" localSheetId="11">#REF!</definedName>
    <definedName name="F_15_720">#REF!</definedName>
    <definedName name="F_15_90" localSheetId="13">#REF!</definedName>
    <definedName name="F_15_90" localSheetId="14">#REF!</definedName>
    <definedName name="F_15_90" localSheetId="15">#REF!</definedName>
    <definedName name="F_15_90" localSheetId="16">#REF!</definedName>
    <definedName name="F_15_90" localSheetId="17">#REF!</definedName>
    <definedName name="F_15_90" localSheetId="18">#REF!</definedName>
    <definedName name="F_15_90" localSheetId="20">#REF!</definedName>
    <definedName name="F_15_90" localSheetId="21">#REF!</definedName>
    <definedName name="F_15_90" localSheetId="7">#REF!</definedName>
    <definedName name="F_15_90" localSheetId="3">#REF!</definedName>
    <definedName name="F_15_90" localSheetId="11">#REF!</definedName>
    <definedName name="F_15_90">#REF!</definedName>
    <definedName name="F_16_120" localSheetId="13">#REF!</definedName>
    <definedName name="F_16_120" localSheetId="14">#REF!</definedName>
    <definedName name="F_16_120" localSheetId="15">#REF!</definedName>
    <definedName name="F_16_120" localSheetId="16">#REF!</definedName>
    <definedName name="F_16_120" localSheetId="17">#REF!</definedName>
    <definedName name="F_16_120" localSheetId="18">#REF!</definedName>
    <definedName name="F_16_120" localSheetId="20">#REF!</definedName>
    <definedName name="F_16_120" localSheetId="21">#REF!</definedName>
    <definedName name="F_16_120" localSheetId="7">#REF!</definedName>
    <definedName name="F_16_120" localSheetId="3">#REF!</definedName>
    <definedName name="F_16_120" localSheetId="11">#REF!</definedName>
    <definedName name="F_16_120">#REF!</definedName>
    <definedName name="F_16_150" localSheetId="13">#REF!</definedName>
    <definedName name="F_16_150" localSheetId="14">#REF!</definedName>
    <definedName name="F_16_150" localSheetId="15">#REF!</definedName>
    <definedName name="F_16_150" localSheetId="16">#REF!</definedName>
    <definedName name="F_16_150" localSheetId="17">#REF!</definedName>
    <definedName name="F_16_150" localSheetId="18">#REF!</definedName>
    <definedName name="F_16_150" localSheetId="20">#REF!</definedName>
    <definedName name="F_16_150" localSheetId="21">#REF!</definedName>
    <definedName name="F_16_150" localSheetId="7">#REF!</definedName>
    <definedName name="F_16_150" localSheetId="3">#REF!</definedName>
    <definedName name="F_16_150" localSheetId="11">#REF!</definedName>
    <definedName name="F_16_150">#REF!</definedName>
    <definedName name="F_16_180" localSheetId="13">#REF!</definedName>
    <definedName name="F_16_180" localSheetId="14">#REF!</definedName>
    <definedName name="F_16_180" localSheetId="15">#REF!</definedName>
    <definedName name="F_16_180" localSheetId="16">#REF!</definedName>
    <definedName name="F_16_180" localSheetId="17">#REF!</definedName>
    <definedName name="F_16_180" localSheetId="18">#REF!</definedName>
    <definedName name="F_16_180" localSheetId="20">#REF!</definedName>
    <definedName name="F_16_180" localSheetId="21">#REF!</definedName>
    <definedName name="F_16_180" localSheetId="7">#REF!</definedName>
    <definedName name="F_16_180" localSheetId="3">#REF!</definedName>
    <definedName name="F_16_180" localSheetId="11">#REF!</definedName>
    <definedName name="F_16_180">#REF!</definedName>
    <definedName name="F_16_210" localSheetId="13">#REF!</definedName>
    <definedName name="F_16_210" localSheetId="14">#REF!</definedName>
    <definedName name="F_16_210" localSheetId="15">#REF!</definedName>
    <definedName name="F_16_210" localSheetId="16">#REF!</definedName>
    <definedName name="F_16_210" localSheetId="17">#REF!</definedName>
    <definedName name="F_16_210" localSheetId="18">#REF!</definedName>
    <definedName name="F_16_210" localSheetId="20">#REF!</definedName>
    <definedName name="F_16_210" localSheetId="21">#REF!</definedName>
    <definedName name="F_16_210" localSheetId="7">#REF!</definedName>
    <definedName name="F_16_210" localSheetId="3">#REF!</definedName>
    <definedName name="F_16_210" localSheetId="11">#REF!</definedName>
    <definedName name="F_16_210">#REF!</definedName>
    <definedName name="F_16_240" localSheetId="13">#REF!</definedName>
    <definedName name="F_16_240" localSheetId="14">#REF!</definedName>
    <definedName name="F_16_240" localSheetId="15">#REF!</definedName>
    <definedName name="F_16_240" localSheetId="16">#REF!</definedName>
    <definedName name="F_16_240" localSheetId="17">#REF!</definedName>
    <definedName name="F_16_240" localSheetId="18">#REF!</definedName>
    <definedName name="F_16_240" localSheetId="20">#REF!</definedName>
    <definedName name="F_16_240" localSheetId="21">#REF!</definedName>
    <definedName name="F_16_240" localSheetId="7">#REF!</definedName>
    <definedName name="F_16_240" localSheetId="3">#REF!</definedName>
    <definedName name="F_16_240" localSheetId="11">#REF!</definedName>
    <definedName name="F_16_240">#REF!</definedName>
    <definedName name="F_16_270" localSheetId="13">#REF!</definedName>
    <definedName name="F_16_270" localSheetId="14">#REF!</definedName>
    <definedName name="F_16_270" localSheetId="15">#REF!</definedName>
    <definedName name="F_16_270" localSheetId="16">#REF!</definedName>
    <definedName name="F_16_270" localSheetId="17">#REF!</definedName>
    <definedName name="F_16_270" localSheetId="18">#REF!</definedName>
    <definedName name="F_16_270" localSheetId="20">#REF!</definedName>
    <definedName name="F_16_270" localSheetId="21">#REF!</definedName>
    <definedName name="F_16_270" localSheetId="7">#REF!</definedName>
    <definedName name="F_16_270" localSheetId="3">#REF!</definedName>
    <definedName name="F_16_270" localSheetId="11">#REF!</definedName>
    <definedName name="F_16_270">#REF!</definedName>
    <definedName name="F_16_30" localSheetId="13">#REF!</definedName>
    <definedName name="F_16_30" localSheetId="14">#REF!</definedName>
    <definedName name="F_16_30" localSheetId="15">#REF!</definedName>
    <definedName name="F_16_30" localSheetId="16">#REF!</definedName>
    <definedName name="F_16_30" localSheetId="17">#REF!</definedName>
    <definedName name="F_16_30" localSheetId="18">#REF!</definedName>
    <definedName name="F_16_30" localSheetId="20">#REF!</definedName>
    <definedName name="F_16_30" localSheetId="21">#REF!</definedName>
    <definedName name="F_16_30" localSheetId="7">#REF!</definedName>
    <definedName name="F_16_30" localSheetId="3">#REF!</definedName>
    <definedName name="F_16_30" localSheetId="11">#REF!</definedName>
    <definedName name="F_16_30">#REF!</definedName>
    <definedName name="F_16_300" localSheetId="13">#REF!</definedName>
    <definedName name="F_16_300" localSheetId="14">#REF!</definedName>
    <definedName name="F_16_300" localSheetId="15">#REF!</definedName>
    <definedName name="F_16_300" localSheetId="16">#REF!</definedName>
    <definedName name="F_16_300" localSheetId="17">#REF!</definedName>
    <definedName name="F_16_300" localSheetId="18">#REF!</definedName>
    <definedName name="F_16_300" localSheetId="20">#REF!</definedName>
    <definedName name="F_16_300" localSheetId="21">#REF!</definedName>
    <definedName name="F_16_300" localSheetId="7">#REF!</definedName>
    <definedName name="F_16_300" localSheetId="3">#REF!</definedName>
    <definedName name="F_16_300" localSheetId="11">#REF!</definedName>
    <definedName name="F_16_300">#REF!</definedName>
    <definedName name="F_16_330" localSheetId="13">#REF!</definedName>
    <definedName name="F_16_330" localSheetId="14">#REF!</definedName>
    <definedName name="F_16_330" localSheetId="15">#REF!</definedName>
    <definedName name="F_16_330" localSheetId="16">#REF!</definedName>
    <definedName name="F_16_330" localSheetId="17">#REF!</definedName>
    <definedName name="F_16_330" localSheetId="18">#REF!</definedName>
    <definedName name="F_16_330" localSheetId="20">#REF!</definedName>
    <definedName name="F_16_330" localSheetId="21">#REF!</definedName>
    <definedName name="F_16_330" localSheetId="7">#REF!</definedName>
    <definedName name="F_16_330" localSheetId="3">#REF!</definedName>
    <definedName name="F_16_330" localSheetId="11">#REF!</definedName>
    <definedName name="F_16_330">#REF!</definedName>
    <definedName name="F_16_360" localSheetId="13">#REF!</definedName>
    <definedName name="F_16_360" localSheetId="14">#REF!</definedName>
    <definedName name="F_16_360" localSheetId="15">#REF!</definedName>
    <definedName name="F_16_360" localSheetId="16">#REF!</definedName>
    <definedName name="F_16_360" localSheetId="17">#REF!</definedName>
    <definedName name="F_16_360" localSheetId="18">#REF!</definedName>
    <definedName name="F_16_360" localSheetId="20">#REF!</definedName>
    <definedName name="F_16_360" localSheetId="21">#REF!</definedName>
    <definedName name="F_16_360" localSheetId="7">#REF!</definedName>
    <definedName name="F_16_360" localSheetId="3">#REF!</definedName>
    <definedName name="F_16_360" localSheetId="11">#REF!</definedName>
    <definedName name="F_16_360">#REF!</definedName>
    <definedName name="F_16_390" localSheetId="13">#REF!</definedName>
    <definedName name="F_16_390" localSheetId="14">#REF!</definedName>
    <definedName name="F_16_390" localSheetId="15">#REF!</definedName>
    <definedName name="F_16_390" localSheetId="16">#REF!</definedName>
    <definedName name="F_16_390" localSheetId="17">#REF!</definedName>
    <definedName name="F_16_390" localSheetId="18">#REF!</definedName>
    <definedName name="F_16_390" localSheetId="20">#REF!</definedName>
    <definedName name="F_16_390" localSheetId="21">#REF!</definedName>
    <definedName name="F_16_390" localSheetId="7">#REF!</definedName>
    <definedName name="F_16_390" localSheetId="3">#REF!</definedName>
    <definedName name="F_16_390" localSheetId="11">#REF!</definedName>
    <definedName name="F_16_390">#REF!</definedName>
    <definedName name="F_16_420" localSheetId="13">#REF!</definedName>
    <definedName name="F_16_420" localSheetId="14">#REF!</definedName>
    <definedName name="F_16_420" localSheetId="15">#REF!</definedName>
    <definedName name="F_16_420" localSheetId="16">#REF!</definedName>
    <definedName name="F_16_420" localSheetId="17">#REF!</definedName>
    <definedName name="F_16_420" localSheetId="18">#REF!</definedName>
    <definedName name="F_16_420" localSheetId="20">#REF!</definedName>
    <definedName name="F_16_420" localSheetId="21">#REF!</definedName>
    <definedName name="F_16_420" localSheetId="7">#REF!</definedName>
    <definedName name="F_16_420" localSheetId="3">#REF!</definedName>
    <definedName name="F_16_420" localSheetId="11">#REF!</definedName>
    <definedName name="F_16_420">#REF!</definedName>
    <definedName name="F_16_450" localSheetId="13">#REF!</definedName>
    <definedName name="F_16_450" localSheetId="14">#REF!</definedName>
    <definedName name="F_16_450" localSheetId="15">#REF!</definedName>
    <definedName name="F_16_450" localSheetId="16">#REF!</definedName>
    <definedName name="F_16_450" localSheetId="17">#REF!</definedName>
    <definedName name="F_16_450" localSheetId="18">#REF!</definedName>
    <definedName name="F_16_450" localSheetId="20">#REF!</definedName>
    <definedName name="F_16_450" localSheetId="21">#REF!</definedName>
    <definedName name="F_16_450" localSheetId="7">#REF!</definedName>
    <definedName name="F_16_450" localSheetId="3">#REF!</definedName>
    <definedName name="F_16_450" localSheetId="11">#REF!</definedName>
    <definedName name="F_16_450">#REF!</definedName>
    <definedName name="F_16_480" localSheetId="13">#REF!</definedName>
    <definedName name="F_16_480" localSheetId="14">#REF!</definedName>
    <definedName name="F_16_480" localSheetId="15">#REF!</definedName>
    <definedName name="F_16_480" localSheetId="16">#REF!</definedName>
    <definedName name="F_16_480" localSheetId="17">#REF!</definedName>
    <definedName name="F_16_480" localSheetId="18">#REF!</definedName>
    <definedName name="F_16_480" localSheetId="20">#REF!</definedName>
    <definedName name="F_16_480" localSheetId="21">#REF!</definedName>
    <definedName name="F_16_480" localSheetId="7">#REF!</definedName>
    <definedName name="F_16_480" localSheetId="3">#REF!</definedName>
    <definedName name="F_16_480" localSheetId="11">#REF!</definedName>
    <definedName name="F_16_480">#REF!</definedName>
    <definedName name="F_16_510" localSheetId="13">#REF!</definedName>
    <definedName name="F_16_510" localSheetId="14">#REF!</definedName>
    <definedName name="F_16_510" localSheetId="15">#REF!</definedName>
    <definedName name="F_16_510" localSheetId="16">#REF!</definedName>
    <definedName name="F_16_510" localSheetId="17">#REF!</definedName>
    <definedName name="F_16_510" localSheetId="18">#REF!</definedName>
    <definedName name="F_16_510" localSheetId="20">#REF!</definedName>
    <definedName name="F_16_510" localSheetId="21">#REF!</definedName>
    <definedName name="F_16_510" localSheetId="7">#REF!</definedName>
    <definedName name="F_16_510" localSheetId="3">#REF!</definedName>
    <definedName name="F_16_510" localSheetId="11">#REF!</definedName>
    <definedName name="F_16_510">#REF!</definedName>
    <definedName name="F_16_540" localSheetId="13">#REF!</definedName>
    <definedName name="F_16_540" localSheetId="14">#REF!</definedName>
    <definedName name="F_16_540" localSheetId="15">#REF!</definedName>
    <definedName name="F_16_540" localSheetId="16">#REF!</definedName>
    <definedName name="F_16_540" localSheetId="17">#REF!</definedName>
    <definedName name="F_16_540" localSheetId="18">#REF!</definedName>
    <definedName name="F_16_540" localSheetId="20">#REF!</definedName>
    <definedName name="F_16_540" localSheetId="21">#REF!</definedName>
    <definedName name="F_16_540" localSheetId="7">#REF!</definedName>
    <definedName name="F_16_540" localSheetId="3">#REF!</definedName>
    <definedName name="F_16_540" localSheetId="11">#REF!</definedName>
    <definedName name="F_16_540">#REF!</definedName>
    <definedName name="F_16_570" localSheetId="13">#REF!</definedName>
    <definedName name="F_16_570" localSheetId="14">#REF!</definedName>
    <definedName name="F_16_570" localSheetId="15">#REF!</definedName>
    <definedName name="F_16_570" localSheetId="16">#REF!</definedName>
    <definedName name="F_16_570" localSheetId="17">#REF!</definedName>
    <definedName name="F_16_570" localSheetId="18">#REF!</definedName>
    <definedName name="F_16_570" localSheetId="20">#REF!</definedName>
    <definedName name="F_16_570" localSheetId="21">#REF!</definedName>
    <definedName name="F_16_570" localSheetId="7">#REF!</definedName>
    <definedName name="F_16_570" localSheetId="3">#REF!</definedName>
    <definedName name="F_16_570" localSheetId="11">#REF!</definedName>
    <definedName name="F_16_570">#REF!</definedName>
    <definedName name="F_16_60" localSheetId="13">#REF!</definedName>
    <definedName name="F_16_60" localSheetId="14">#REF!</definedName>
    <definedName name="F_16_60" localSheetId="15">#REF!</definedName>
    <definedName name="F_16_60" localSheetId="16">#REF!</definedName>
    <definedName name="F_16_60" localSheetId="17">#REF!</definedName>
    <definedName name="F_16_60" localSheetId="18">#REF!</definedName>
    <definedName name="F_16_60" localSheetId="20">#REF!</definedName>
    <definedName name="F_16_60" localSheetId="21">#REF!</definedName>
    <definedName name="F_16_60" localSheetId="7">#REF!</definedName>
    <definedName name="F_16_60" localSheetId="3">#REF!</definedName>
    <definedName name="F_16_60" localSheetId="11">#REF!</definedName>
    <definedName name="F_16_60">#REF!</definedName>
    <definedName name="F_16_600" localSheetId="13">#REF!</definedName>
    <definedName name="F_16_600" localSheetId="14">#REF!</definedName>
    <definedName name="F_16_600" localSheetId="15">#REF!</definedName>
    <definedName name="F_16_600" localSheetId="16">#REF!</definedName>
    <definedName name="F_16_600" localSheetId="17">#REF!</definedName>
    <definedName name="F_16_600" localSheetId="18">#REF!</definedName>
    <definedName name="F_16_600" localSheetId="20">#REF!</definedName>
    <definedName name="F_16_600" localSheetId="21">#REF!</definedName>
    <definedName name="F_16_600" localSheetId="7">#REF!</definedName>
    <definedName name="F_16_600" localSheetId="3">#REF!</definedName>
    <definedName name="F_16_600" localSheetId="11">#REF!</definedName>
    <definedName name="F_16_600">#REF!</definedName>
    <definedName name="F_16_630" localSheetId="13">#REF!</definedName>
    <definedName name="F_16_630" localSheetId="14">#REF!</definedName>
    <definedName name="F_16_630" localSheetId="15">#REF!</definedName>
    <definedName name="F_16_630" localSheetId="16">#REF!</definedName>
    <definedName name="F_16_630" localSheetId="17">#REF!</definedName>
    <definedName name="F_16_630" localSheetId="18">#REF!</definedName>
    <definedName name="F_16_630" localSheetId="20">#REF!</definedName>
    <definedName name="F_16_630" localSheetId="21">#REF!</definedName>
    <definedName name="F_16_630" localSheetId="7">#REF!</definedName>
    <definedName name="F_16_630" localSheetId="3">#REF!</definedName>
    <definedName name="F_16_630" localSheetId="11">#REF!</definedName>
    <definedName name="F_16_630">#REF!</definedName>
    <definedName name="F_16_660" localSheetId="13">#REF!</definedName>
    <definedName name="F_16_660" localSheetId="14">#REF!</definedName>
    <definedName name="F_16_660" localSheetId="15">#REF!</definedName>
    <definedName name="F_16_660" localSheetId="16">#REF!</definedName>
    <definedName name="F_16_660" localSheetId="17">#REF!</definedName>
    <definedName name="F_16_660" localSheetId="18">#REF!</definedName>
    <definedName name="F_16_660" localSheetId="20">#REF!</definedName>
    <definedName name="F_16_660" localSheetId="21">#REF!</definedName>
    <definedName name="F_16_660" localSheetId="7">#REF!</definedName>
    <definedName name="F_16_660" localSheetId="3">#REF!</definedName>
    <definedName name="F_16_660" localSheetId="11">#REF!</definedName>
    <definedName name="F_16_660">#REF!</definedName>
    <definedName name="F_16_690" localSheetId="13">#REF!</definedName>
    <definedName name="F_16_690" localSheetId="14">#REF!</definedName>
    <definedName name="F_16_690" localSheetId="15">#REF!</definedName>
    <definedName name="F_16_690" localSheetId="16">#REF!</definedName>
    <definedName name="F_16_690" localSheetId="17">#REF!</definedName>
    <definedName name="F_16_690" localSheetId="18">#REF!</definedName>
    <definedName name="F_16_690" localSheetId="20">#REF!</definedName>
    <definedName name="F_16_690" localSheetId="21">#REF!</definedName>
    <definedName name="F_16_690" localSheetId="7">#REF!</definedName>
    <definedName name="F_16_690" localSheetId="3">#REF!</definedName>
    <definedName name="F_16_690" localSheetId="11">#REF!</definedName>
    <definedName name="F_16_690">#REF!</definedName>
    <definedName name="F_16_720" localSheetId="13">#REF!</definedName>
    <definedName name="F_16_720" localSheetId="14">#REF!</definedName>
    <definedName name="F_16_720" localSheetId="15">#REF!</definedName>
    <definedName name="F_16_720" localSheetId="16">#REF!</definedName>
    <definedName name="F_16_720" localSheetId="17">#REF!</definedName>
    <definedName name="F_16_720" localSheetId="18">#REF!</definedName>
    <definedName name="F_16_720" localSheetId="20">#REF!</definedName>
    <definedName name="F_16_720" localSheetId="21">#REF!</definedName>
    <definedName name="F_16_720" localSheetId="7">#REF!</definedName>
    <definedName name="F_16_720" localSheetId="3">#REF!</definedName>
    <definedName name="F_16_720" localSheetId="11">#REF!</definedName>
    <definedName name="F_16_720">#REF!</definedName>
    <definedName name="F_16_90" localSheetId="13">#REF!</definedName>
    <definedName name="F_16_90" localSheetId="14">#REF!</definedName>
    <definedName name="F_16_90" localSheetId="15">#REF!</definedName>
    <definedName name="F_16_90" localSheetId="16">#REF!</definedName>
    <definedName name="F_16_90" localSheetId="17">#REF!</definedName>
    <definedName name="F_16_90" localSheetId="18">#REF!</definedName>
    <definedName name="F_16_90" localSheetId="20">#REF!</definedName>
    <definedName name="F_16_90" localSheetId="21">#REF!</definedName>
    <definedName name="F_16_90" localSheetId="7">#REF!</definedName>
    <definedName name="F_16_90" localSheetId="3">#REF!</definedName>
    <definedName name="F_16_90" localSheetId="11">#REF!</definedName>
    <definedName name="F_16_90">#REF!</definedName>
    <definedName name="F_17_120" localSheetId="13">#REF!</definedName>
    <definedName name="F_17_120" localSheetId="14">#REF!</definedName>
    <definedName name="F_17_120" localSheetId="15">#REF!</definedName>
    <definedName name="F_17_120" localSheetId="16">#REF!</definedName>
    <definedName name="F_17_120" localSheetId="17">#REF!</definedName>
    <definedName name="F_17_120" localSheetId="18">#REF!</definedName>
    <definedName name="F_17_120" localSheetId="20">#REF!</definedName>
    <definedName name="F_17_120" localSheetId="21">#REF!</definedName>
    <definedName name="F_17_120" localSheetId="7">#REF!</definedName>
    <definedName name="F_17_120" localSheetId="3">#REF!</definedName>
    <definedName name="F_17_120" localSheetId="11">#REF!</definedName>
    <definedName name="F_17_120">#REF!</definedName>
    <definedName name="F_17_150" localSheetId="13">#REF!</definedName>
    <definedName name="F_17_150" localSheetId="14">#REF!</definedName>
    <definedName name="F_17_150" localSheetId="15">#REF!</definedName>
    <definedName name="F_17_150" localSheetId="16">#REF!</definedName>
    <definedName name="F_17_150" localSheetId="17">#REF!</definedName>
    <definedName name="F_17_150" localSheetId="18">#REF!</definedName>
    <definedName name="F_17_150" localSheetId="20">#REF!</definedName>
    <definedName name="F_17_150" localSheetId="21">#REF!</definedName>
    <definedName name="F_17_150" localSheetId="7">#REF!</definedName>
    <definedName name="F_17_150" localSheetId="3">#REF!</definedName>
    <definedName name="F_17_150" localSheetId="11">#REF!</definedName>
    <definedName name="F_17_150">#REF!</definedName>
    <definedName name="F_17_180" localSheetId="13">#REF!</definedName>
    <definedName name="F_17_180" localSheetId="14">#REF!</definedName>
    <definedName name="F_17_180" localSheetId="15">#REF!</definedName>
    <definedName name="F_17_180" localSheetId="16">#REF!</definedName>
    <definedName name="F_17_180" localSheetId="17">#REF!</definedName>
    <definedName name="F_17_180" localSheetId="18">#REF!</definedName>
    <definedName name="F_17_180" localSheetId="20">#REF!</definedName>
    <definedName name="F_17_180" localSheetId="21">#REF!</definedName>
    <definedName name="F_17_180" localSheetId="7">#REF!</definedName>
    <definedName name="F_17_180" localSheetId="3">#REF!</definedName>
    <definedName name="F_17_180" localSheetId="11">#REF!</definedName>
    <definedName name="F_17_180">#REF!</definedName>
    <definedName name="F_17_210" localSheetId="13">#REF!</definedName>
    <definedName name="F_17_210" localSheetId="14">#REF!</definedName>
    <definedName name="F_17_210" localSheetId="15">#REF!</definedName>
    <definedName name="F_17_210" localSheetId="16">#REF!</definedName>
    <definedName name="F_17_210" localSheetId="17">#REF!</definedName>
    <definedName name="F_17_210" localSheetId="18">#REF!</definedName>
    <definedName name="F_17_210" localSheetId="20">#REF!</definedName>
    <definedName name="F_17_210" localSheetId="21">#REF!</definedName>
    <definedName name="F_17_210" localSheetId="7">#REF!</definedName>
    <definedName name="F_17_210" localSheetId="3">#REF!</definedName>
    <definedName name="F_17_210" localSheetId="11">#REF!</definedName>
    <definedName name="F_17_210">#REF!</definedName>
    <definedName name="F_17_240" localSheetId="13">#REF!</definedName>
    <definedName name="F_17_240" localSheetId="14">#REF!</definedName>
    <definedName name="F_17_240" localSheetId="15">#REF!</definedName>
    <definedName name="F_17_240" localSheetId="16">#REF!</definedName>
    <definedName name="F_17_240" localSheetId="17">#REF!</definedName>
    <definedName name="F_17_240" localSheetId="18">#REF!</definedName>
    <definedName name="F_17_240" localSheetId="20">#REF!</definedName>
    <definedName name="F_17_240" localSheetId="21">#REF!</definedName>
    <definedName name="F_17_240" localSheetId="7">#REF!</definedName>
    <definedName name="F_17_240" localSheetId="3">#REF!</definedName>
    <definedName name="F_17_240" localSheetId="11">#REF!</definedName>
    <definedName name="F_17_240">#REF!</definedName>
    <definedName name="F_17_270" localSheetId="13">#REF!</definedName>
    <definedName name="F_17_270" localSheetId="14">#REF!</definedName>
    <definedName name="F_17_270" localSheetId="15">#REF!</definedName>
    <definedName name="F_17_270" localSheetId="16">#REF!</definedName>
    <definedName name="F_17_270" localSheetId="17">#REF!</definedName>
    <definedName name="F_17_270" localSheetId="18">#REF!</definedName>
    <definedName name="F_17_270" localSheetId="20">#REF!</definedName>
    <definedName name="F_17_270" localSheetId="21">#REF!</definedName>
    <definedName name="F_17_270" localSheetId="7">#REF!</definedName>
    <definedName name="F_17_270" localSheetId="3">#REF!</definedName>
    <definedName name="F_17_270" localSheetId="11">#REF!</definedName>
    <definedName name="F_17_270">#REF!</definedName>
    <definedName name="F_17_30" localSheetId="13">#REF!</definedName>
    <definedName name="F_17_30" localSheetId="14">#REF!</definedName>
    <definedName name="F_17_30" localSheetId="15">#REF!</definedName>
    <definedName name="F_17_30" localSheetId="16">#REF!</definedName>
    <definedName name="F_17_30" localSheetId="17">#REF!</definedName>
    <definedName name="F_17_30" localSheetId="18">#REF!</definedName>
    <definedName name="F_17_30" localSheetId="20">#REF!</definedName>
    <definedName name="F_17_30" localSheetId="21">#REF!</definedName>
    <definedName name="F_17_30" localSheetId="7">#REF!</definedName>
    <definedName name="F_17_30" localSheetId="3">#REF!</definedName>
    <definedName name="F_17_30" localSheetId="11">#REF!</definedName>
    <definedName name="F_17_30">#REF!</definedName>
    <definedName name="F_17_300" localSheetId="13">#REF!</definedName>
    <definedName name="F_17_300" localSheetId="14">#REF!</definedName>
    <definedName name="F_17_300" localSheetId="15">#REF!</definedName>
    <definedName name="F_17_300" localSheetId="16">#REF!</definedName>
    <definedName name="F_17_300" localSheetId="17">#REF!</definedName>
    <definedName name="F_17_300" localSheetId="18">#REF!</definedName>
    <definedName name="F_17_300" localSheetId="20">#REF!</definedName>
    <definedName name="F_17_300" localSheetId="21">#REF!</definedName>
    <definedName name="F_17_300" localSheetId="7">#REF!</definedName>
    <definedName name="F_17_300" localSheetId="3">#REF!</definedName>
    <definedName name="F_17_300" localSheetId="11">#REF!</definedName>
    <definedName name="F_17_300">#REF!</definedName>
    <definedName name="F_17_330" localSheetId="13">#REF!</definedName>
    <definedName name="F_17_330" localSheetId="14">#REF!</definedName>
    <definedName name="F_17_330" localSheetId="15">#REF!</definedName>
    <definedName name="F_17_330" localSheetId="16">#REF!</definedName>
    <definedName name="F_17_330" localSheetId="17">#REF!</definedName>
    <definedName name="F_17_330" localSheetId="18">#REF!</definedName>
    <definedName name="F_17_330" localSheetId="20">#REF!</definedName>
    <definedName name="F_17_330" localSheetId="21">#REF!</definedName>
    <definedName name="F_17_330" localSheetId="7">#REF!</definedName>
    <definedName name="F_17_330" localSheetId="3">#REF!</definedName>
    <definedName name="F_17_330" localSheetId="11">#REF!</definedName>
    <definedName name="F_17_330">#REF!</definedName>
    <definedName name="F_17_360" localSheetId="13">#REF!</definedName>
    <definedName name="F_17_360" localSheetId="14">#REF!</definedName>
    <definedName name="F_17_360" localSheetId="15">#REF!</definedName>
    <definedName name="F_17_360" localSheetId="16">#REF!</definedName>
    <definedName name="F_17_360" localSheetId="17">#REF!</definedName>
    <definedName name="F_17_360" localSheetId="18">#REF!</definedName>
    <definedName name="F_17_360" localSheetId="20">#REF!</definedName>
    <definedName name="F_17_360" localSheetId="21">#REF!</definedName>
    <definedName name="F_17_360" localSheetId="7">#REF!</definedName>
    <definedName name="F_17_360" localSheetId="3">#REF!</definedName>
    <definedName name="F_17_360" localSheetId="11">#REF!</definedName>
    <definedName name="F_17_360">#REF!</definedName>
    <definedName name="F_17_390" localSheetId="13">#REF!</definedName>
    <definedName name="F_17_390" localSheetId="14">#REF!</definedName>
    <definedName name="F_17_390" localSheetId="15">#REF!</definedName>
    <definedName name="F_17_390" localSheetId="16">#REF!</definedName>
    <definedName name="F_17_390" localSheetId="17">#REF!</definedName>
    <definedName name="F_17_390" localSheetId="18">#REF!</definedName>
    <definedName name="F_17_390" localSheetId="20">#REF!</definedName>
    <definedName name="F_17_390" localSheetId="21">#REF!</definedName>
    <definedName name="F_17_390" localSheetId="7">#REF!</definedName>
    <definedName name="F_17_390" localSheetId="3">#REF!</definedName>
    <definedName name="F_17_390" localSheetId="11">#REF!</definedName>
    <definedName name="F_17_390">#REF!</definedName>
    <definedName name="F_17_420" localSheetId="13">#REF!</definedName>
    <definedName name="F_17_420" localSheetId="14">#REF!</definedName>
    <definedName name="F_17_420" localSheetId="15">#REF!</definedName>
    <definedName name="F_17_420" localSheetId="16">#REF!</definedName>
    <definedName name="F_17_420" localSheetId="17">#REF!</definedName>
    <definedName name="F_17_420" localSheetId="18">#REF!</definedName>
    <definedName name="F_17_420" localSheetId="20">#REF!</definedName>
    <definedName name="F_17_420" localSheetId="21">#REF!</definedName>
    <definedName name="F_17_420" localSheetId="7">#REF!</definedName>
    <definedName name="F_17_420" localSheetId="3">#REF!</definedName>
    <definedName name="F_17_420" localSheetId="11">#REF!</definedName>
    <definedName name="F_17_420">#REF!</definedName>
    <definedName name="F_17_450" localSheetId="13">#REF!</definedName>
    <definedName name="F_17_450" localSheetId="14">#REF!</definedName>
    <definedName name="F_17_450" localSheetId="15">#REF!</definedName>
    <definedName name="F_17_450" localSheetId="16">#REF!</definedName>
    <definedName name="F_17_450" localSheetId="17">#REF!</definedName>
    <definedName name="F_17_450" localSheetId="18">#REF!</definedName>
    <definedName name="F_17_450" localSheetId="20">#REF!</definedName>
    <definedName name="F_17_450" localSheetId="21">#REF!</definedName>
    <definedName name="F_17_450" localSheetId="7">#REF!</definedName>
    <definedName name="F_17_450" localSheetId="3">#REF!</definedName>
    <definedName name="F_17_450" localSheetId="11">#REF!</definedName>
    <definedName name="F_17_450">#REF!</definedName>
    <definedName name="F_17_480" localSheetId="13">#REF!</definedName>
    <definedName name="F_17_480" localSheetId="14">#REF!</definedName>
    <definedName name="F_17_480" localSheetId="15">#REF!</definedName>
    <definedName name="F_17_480" localSheetId="16">#REF!</definedName>
    <definedName name="F_17_480" localSheetId="17">#REF!</definedName>
    <definedName name="F_17_480" localSheetId="18">#REF!</definedName>
    <definedName name="F_17_480" localSheetId="20">#REF!</definedName>
    <definedName name="F_17_480" localSheetId="21">#REF!</definedName>
    <definedName name="F_17_480" localSheetId="7">#REF!</definedName>
    <definedName name="F_17_480" localSheetId="3">#REF!</definedName>
    <definedName name="F_17_480" localSheetId="11">#REF!</definedName>
    <definedName name="F_17_480">#REF!</definedName>
    <definedName name="F_17_510" localSheetId="13">#REF!</definedName>
    <definedName name="F_17_510" localSheetId="14">#REF!</definedName>
    <definedName name="F_17_510" localSheetId="15">#REF!</definedName>
    <definedName name="F_17_510" localSheetId="16">#REF!</definedName>
    <definedName name="F_17_510" localSheetId="17">#REF!</definedName>
    <definedName name="F_17_510" localSheetId="18">#REF!</definedName>
    <definedName name="F_17_510" localSheetId="20">#REF!</definedName>
    <definedName name="F_17_510" localSheetId="21">#REF!</definedName>
    <definedName name="F_17_510" localSheetId="7">#REF!</definedName>
    <definedName name="F_17_510" localSheetId="3">#REF!</definedName>
    <definedName name="F_17_510" localSheetId="11">#REF!</definedName>
    <definedName name="F_17_510">#REF!</definedName>
    <definedName name="F_17_540" localSheetId="13">#REF!</definedName>
    <definedName name="F_17_540" localSheetId="14">#REF!</definedName>
    <definedName name="F_17_540" localSheetId="15">#REF!</definedName>
    <definedName name="F_17_540" localSheetId="16">#REF!</definedName>
    <definedName name="F_17_540" localSheetId="17">#REF!</definedName>
    <definedName name="F_17_540" localSheetId="18">#REF!</definedName>
    <definedName name="F_17_540" localSheetId="20">#REF!</definedName>
    <definedName name="F_17_540" localSheetId="21">#REF!</definedName>
    <definedName name="F_17_540" localSheetId="7">#REF!</definedName>
    <definedName name="F_17_540" localSheetId="3">#REF!</definedName>
    <definedName name="F_17_540" localSheetId="11">#REF!</definedName>
    <definedName name="F_17_540">#REF!</definedName>
    <definedName name="F_17_570" localSheetId="13">#REF!</definedName>
    <definedName name="F_17_570" localSheetId="14">#REF!</definedName>
    <definedName name="F_17_570" localSheetId="15">#REF!</definedName>
    <definedName name="F_17_570" localSheetId="16">#REF!</definedName>
    <definedName name="F_17_570" localSheetId="17">#REF!</definedName>
    <definedName name="F_17_570" localSheetId="18">#REF!</definedName>
    <definedName name="F_17_570" localSheetId="20">#REF!</definedName>
    <definedName name="F_17_570" localSheetId="21">#REF!</definedName>
    <definedName name="F_17_570" localSheetId="7">#REF!</definedName>
    <definedName name="F_17_570" localSheetId="3">#REF!</definedName>
    <definedName name="F_17_570" localSheetId="11">#REF!</definedName>
    <definedName name="F_17_570">#REF!</definedName>
    <definedName name="F_17_60" localSheetId="13">#REF!</definedName>
    <definedName name="F_17_60" localSheetId="14">#REF!</definedName>
    <definedName name="F_17_60" localSheetId="15">#REF!</definedName>
    <definedName name="F_17_60" localSheetId="16">#REF!</definedName>
    <definedName name="F_17_60" localSheetId="17">#REF!</definedName>
    <definedName name="F_17_60" localSheetId="18">#REF!</definedName>
    <definedName name="F_17_60" localSheetId="20">#REF!</definedName>
    <definedName name="F_17_60" localSheetId="21">#REF!</definedName>
    <definedName name="F_17_60" localSheetId="7">#REF!</definedName>
    <definedName name="F_17_60" localSheetId="3">#REF!</definedName>
    <definedName name="F_17_60" localSheetId="11">#REF!</definedName>
    <definedName name="F_17_60">#REF!</definedName>
    <definedName name="F_17_600" localSheetId="13">#REF!</definedName>
    <definedName name="F_17_600" localSheetId="14">#REF!</definedName>
    <definedName name="F_17_600" localSheetId="15">#REF!</definedName>
    <definedName name="F_17_600" localSheetId="16">#REF!</definedName>
    <definedName name="F_17_600" localSheetId="17">#REF!</definedName>
    <definedName name="F_17_600" localSheetId="18">#REF!</definedName>
    <definedName name="F_17_600" localSheetId="20">#REF!</definedName>
    <definedName name="F_17_600" localSheetId="21">#REF!</definedName>
    <definedName name="F_17_600" localSheetId="7">#REF!</definedName>
    <definedName name="F_17_600" localSheetId="3">#REF!</definedName>
    <definedName name="F_17_600" localSheetId="11">#REF!</definedName>
    <definedName name="F_17_600">#REF!</definedName>
    <definedName name="F_17_630" localSheetId="13">#REF!</definedName>
    <definedName name="F_17_630" localSheetId="14">#REF!</definedName>
    <definedName name="F_17_630" localSheetId="15">#REF!</definedName>
    <definedName name="F_17_630" localSheetId="16">#REF!</definedName>
    <definedName name="F_17_630" localSheetId="17">#REF!</definedName>
    <definedName name="F_17_630" localSheetId="18">#REF!</definedName>
    <definedName name="F_17_630" localSheetId="20">#REF!</definedName>
    <definedName name="F_17_630" localSheetId="21">#REF!</definedName>
    <definedName name="F_17_630" localSheetId="7">#REF!</definedName>
    <definedName name="F_17_630" localSheetId="3">#REF!</definedName>
    <definedName name="F_17_630" localSheetId="11">#REF!</definedName>
    <definedName name="F_17_630">#REF!</definedName>
    <definedName name="F_17_660" localSheetId="13">#REF!</definedName>
    <definedName name="F_17_660" localSheetId="14">#REF!</definedName>
    <definedName name="F_17_660" localSheetId="15">#REF!</definedName>
    <definedName name="F_17_660" localSheetId="16">#REF!</definedName>
    <definedName name="F_17_660" localSheetId="17">#REF!</definedName>
    <definedName name="F_17_660" localSheetId="18">#REF!</definedName>
    <definedName name="F_17_660" localSheetId="20">#REF!</definedName>
    <definedName name="F_17_660" localSheetId="21">#REF!</definedName>
    <definedName name="F_17_660" localSheetId="7">#REF!</definedName>
    <definedName name="F_17_660" localSheetId="3">#REF!</definedName>
    <definedName name="F_17_660" localSheetId="11">#REF!</definedName>
    <definedName name="F_17_660">#REF!</definedName>
    <definedName name="F_17_690" localSheetId="13">#REF!</definedName>
    <definedName name="F_17_690" localSheetId="14">#REF!</definedName>
    <definedName name="F_17_690" localSheetId="15">#REF!</definedName>
    <definedName name="F_17_690" localSheetId="16">#REF!</definedName>
    <definedName name="F_17_690" localSheetId="17">#REF!</definedName>
    <definedName name="F_17_690" localSheetId="18">#REF!</definedName>
    <definedName name="F_17_690" localSheetId="20">#REF!</definedName>
    <definedName name="F_17_690" localSheetId="21">#REF!</definedName>
    <definedName name="F_17_690" localSheetId="7">#REF!</definedName>
    <definedName name="F_17_690" localSheetId="3">#REF!</definedName>
    <definedName name="F_17_690" localSheetId="11">#REF!</definedName>
    <definedName name="F_17_690">#REF!</definedName>
    <definedName name="F_17_720" localSheetId="13">#REF!</definedName>
    <definedName name="F_17_720" localSheetId="14">#REF!</definedName>
    <definedName name="F_17_720" localSheetId="15">#REF!</definedName>
    <definedName name="F_17_720" localSheetId="16">#REF!</definedName>
    <definedName name="F_17_720" localSheetId="17">#REF!</definedName>
    <definedName name="F_17_720" localSheetId="18">#REF!</definedName>
    <definedName name="F_17_720" localSheetId="20">#REF!</definedName>
    <definedName name="F_17_720" localSheetId="21">#REF!</definedName>
    <definedName name="F_17_720" localSheetId="7">#REF!</definedName>
    <definedName name="F_17_720" localSheetId="3">#REF!</definedName>
    <definedName name="F_17_720" localSheetId="11">#REF!</definedName>
    <definedName name="F_17_720">#REF!</definedName>
    <definedName name="F_17_90" localSheetId="13">#REF!</definedName>
    <definedName name="F_17_90" localSheetId="14">#REF!</definedName>
    <definedName name="F_17_90" localSheetId="15">#REF!</definedName>
    <definedName name="F_17_90" localSheetId="16">#REF!</definedName>
    <definedName name="F_17_90" localSheetId="17">#REF!</definedName>
    <definedName name="F_17_90" localSheetId="18">#REF!</definedName>
    <definedName name="F_17_90" localSheetId="20">#REF!</definedName>
    <definedName name="F_17_90" localSheetId="21">#REF!</definedName>
    <definedName name="F_17_90" localSheetId="7">#REF!</definedName>
    <definedName name="F_17_90" localSheetId="3">#REF!</definedName>
    <definedName name="F_17_90" localSheetId="11">#REF!</definedName>
    <definedName name="F_17_90">#REF!</definedName>
    <definedName name="F_18_120" localSheetId="13">#REF!</definedName>
    <definedName name="F_18_120" localSheetId="14">#REF!</definedName>
    <definedName name="F_18_120" localSheetId="15">#REF!</definedName>
    <definedName name="F_18_120" localSheetId="16">#REF!</definedName>
    <definedName name="F_18_120" localSheetId="17">#REF!</definedName>
    <definedName name="F_18_120" localSheetId="18">#REF!</definedName>
    <definedName name="F_18_120" localSheetId="20">#REF!</definedName>
    <definedName name="F_18_120" localSheetId="21">#REF!</definedName>
    <definedName name="F_18_120" localSheetId="7">#REF!</definedName>
    <definedName name="F_18_120" localSheetId="3">#REF!</definedName>
    <definedName name="F_18_120" localSheetId="11">#REF!</definedName>
    <definedName name="F_18_120">#REF!</definedName>
    <definedName name="F_18_150" localSheetId="13">#REF!</definedName>
    <definedName name="F_18_150" localSheetId="14">#REF!</definedName>
    <definedName name="F_18_150" localSheetId="15">#REF!</definedName>
    <definedName name="F_18_150" localSheetId="16">#REF!</definedName>
    <definedName name="F_18_150" localSheetId="17">#REF!</definedName>
    <definedName name="F_18_150" localSheetId="18">#REF!</definedName>
    <definedName name="F_18_150" localSheetId="20">#REF!</definedName>
    <definedName name="F_18_150" localSheetId="21">#REF!</definedName>
    <definedName name="F_18_150" localSheetId="7">#REF!</definedName>
    <definedName name="F_18_150" localSheetId="3">#REF!</definedName>
    <definedName name="F_18_150" localSheetId="11">#REF!</definedName>
    <definedName name="F_18_150">#REF!</definedName>
    <definedName name="F_18_180" localSheetId="13">#REF!</definedName>
    <definedName name="F_18_180" localSheetId="14">#REF!</definedName>
    <definedName name="F_18_180" localSheetId="15">#REF!</definedName>
    <definedName name="F_18_180" localSheetId="16">#REF!</definedName>
    <definedName name="F_18_180" localSheetId="17">#REF!</definedName>
    <definedName name="F_18_180" localSheetId="18">#REF!</definedName>
    <definedName name="F_18_180" localSheetId="20">#REF!</definedName>
    <definedName name="F_18_180" localSheetId="21">#REF!</definedName>
    <definedName name="F_18_180" localSheetId="7">#REF!</definedName>
    <definedName name="F_18_180" localSheetId="3">#REF!</definedName>
    <definedName name="F_18_180" localSheetId="11">#REF!</definedName>
    <definedName name="F_18_180">#REF!</definedName>
    <definedName name="F_18_210" localSheetId="13">#REF!</definedName>
    <definedName name="F_18_210" localSheetId="14">#REF!</definedName>
    <definedName name="F_18_210" localSheetId="15">#REF!</definedName>
    <definedName name="F_18_210" localSheetId="16">#REF!</definedName>
    <definedName name="F_18_210" localSheetId="17">#REF!</definedName>
    <definedName name="F_18_210" localSheetId="18">#REF!</definedName>
    <definedName name="F_18_210" localSheetId="20">#REF!</definedName>
    <definedName name="F_18_210" localSheetId="21">#REF!</definedName>
    <definedName name="F_18_210" localSheetId="7">#REF!</definedName>
    <definedName name="F_18_210" localSheetId="3">#REF!</definedName>
    <definedName name="F_18_210" localSheetId="11">#REF!</definedName>
    <definedName name="F_18_210">#REF!</definedName>
    <definedName name="F_18_240" localSheetId="13">#REF!</definedName>
    <definedName name="F_18_240" localSheetId="14">#REF!</definedName>
    <definedName name="F_18_240" localSheetId="15">#REF!</definedName>
    <definedName name="F_18_240" localSheetId="16">#REF!</definedName>
    <definedName name="F_18_240" localSheetId="17">#REF!</definedName>
    <definedName name="F_18_240" localSheetId="18">#REF!</definedName>
    <definedName name="F_18_240" localSheetId="20">#REF!</definedName>
    <definedName name="F_18_240" localSheetId="21">#REF!</definedName>
    <definedName name="F_18_240" localSheetId="7">#REF!</definedName>
    <definedName name="F_18_240" localSheetId="3">#REF!</definedName>
    <definedName name="F_18_240" localSheetId="11">#REF!</definedName>
    <definedName name="F_18_240">#REF!</definedName>
    <definedName name="F_18_270" localSheetId="13">#REF!</definedName>
    <definedName name="F_18_270" localSheetId="14">#REF!</definedName>
    <definedName name="F_18_270" localSheetId="15">#REF!</definedName>
    <definedName name="F_18_270" localSheetId="16">#REF!</definedName>
    <definedName name="F_18_270" localSheetId="17">#REF!</definedName>
    <definedName name="F_18_270" localSheetId="18">#REF!</definedName>
    <definedName name="F_18_270" localSheetId="20">#REF!</definedName>
    <definedName name="F_18_270" localSheetId="21">#REF!</definedName>
    <definedName name="F_18_270" localSheetId="7">#REF!</definedName>
    <definedName name="F_18_270" localSheetId="3">#REF!</definedName>
    <definedName name="F_18_270" localSheetId="11">#REF!</definedName>
    <definedName name="F_18_270">#REF!</definedName>
    <definedName name="F_18_30" localSheetId="13">#REF!</definedName>
    <definedName name="F_18_30" localSheetId="14">#REF!</definedName>
    <definedName name="F_18_30" localSheetId="15">#REF!</definedName>
    <definedName name="F_18_30" localSheetId="16">#REF!</definedName>
    <definedName name="F_18_30" localSheetId="17">#REF!</definedName>
    <definedName name="F_18_30" localSheetId="18">#REF!</definedName>
    <definedName name="F_18_30" localSheetId="20">#REF!</definedName>
    <definedName name="F_18_30" localSheetId="21">#REF!</definedName>
    <definedName name="F_18_30" localSheetId="7">#REF!</definedName>
    <definedName name="F_18_30" localSheetId="3">#REF!</definedName>
    <definedName name="F_18_30" localSheetId="11">#REF!</definedName>
    <definedName name="F_18_30">#REF!</definedName>
    <definedName name="F_18_300" localSheetId="13">#REF!</definedName>
    <definedName name="F_18_300" localSheetId="14">#REF!</definedName>
    <definedName name="F_18_300" localSheetId="15">#REF!</definedName>
    <definedName name="F_18_300" localSheetId="16">#REF!</definedName>
    <definedName name="F_18_300" localSheetId="17">#REF!</definedName>
    <definedName name="F_18_300" localSheetId="18">#REF!</definedName>
    <definedName name="F_18_300" localSheetId="20">#REF!</definedName>
    <definedName name="F_18_300" localSheetId="21">#REF!</definedName>
    <definedName name="F_18_300" localSheetId="7">#REF!</definedName>
    <definedName name="F_18_300" localSheetId="3">#REF!</definedName>
    <definedName name="F_18_300" localSheetId="11">#REF!</definedName>
    <definedName name="F_18_300">#REF!</definedName>
    <definedName name="F_18_330" localSheetId="13">#REF!</definedName>
    <definedName name="F_18_330" localSheetId="14">#REF!</definedName>
    <definedName name="F_18_330" localSheetId="15">#REF!</definedName>
    <definedName name="F_18_330" localSheetId="16">#REF!</definedName>
    <definedName name="F_18_330" localSheetId="17">#REF!</definedName>
    <definedName name="F_18_330" localSheetId="18">#REF!</definedName>
    <definedName name="F_18_330" localSheetId="20">#REF!</definedName>
    <definedName name="F_18_330" localSheetId="21">#REF!</definedName>
    <definedName name="F_18_330" localSheetId="7">#REF!</definedName>
    <definedName name="F_18_330" localSheetId="3">#REF!</definedName>
    <definedName name="F_18_330" localSheetId="11">#REF!</definedName>
    <definedName name="F_18_330">#REF!</definedName>
    <definedName name="F_18_360" localSheetId="13">#REF!</definedName>
    <definedName name="F_18_360" localSheetId="14">#REF!</definedName>
    <definedName name="F_18_360" localSheetId="15">#REF!</definedName>
    <definedName name="F_18_360" localSheetId="16">#REF!</definedName>
    <definedName name="F_18_360" localSheetId="17">#REF!</definedName>
    <definedName name="F_18_360" localSheetId="18">#REF!</definedName>
    <definedName name="F_18_360" localSheetId="20">#REF!</definedName>
    <definedName name="F_18_360" localSheetId="21">#REF!</definedName>
    <definedName name="F_18_360" localSheetId="7">#REF!</definedName>
    <definedName name="F_18_360" localSheetId="3">#REF!</definedName>
    <definedName name="F_18_360" localSheetId="11">#REF!</definedName>
    <definedName name="F_18_360">#REF!</definedName>
    <definedName name="F_18_390" localSheetId="13">#REF!</definedName>
    <definedName name="F_18_390" localSheetId="14">#REF!</definedName>
    <definedName name="F_18_390" localSheetId="15">#REF!</definedName>
    <definedName name="F_18_390" localSheetId="16">#REF!</definedName>
    <definedName name="F_18_390" localSheetId="17">#REF!</definedName>
    <definedName name="F_18_390" localSheetId="18">#REF!</definedName>
    <definedName name="F_18_390" localSheetId="20">#REF!</definedName>
    <definedName name="F_18_390" localSheetId="21">#REF!</definedName>
    <definedName name="F_18_390" localSheetId="7">#REF!</definedName>
    <definedName name="F_18_390" localSheetId="3">#REF!</definedName>
    <definedName name="F_18_390" localSheetId="11">#REF!</definedName>
    <definedName name="F_18_390">#REF!</definedName>
    <definedName name="F_18_420" localSheetId="13">#REF!</definedName>
    <definedName name="F_18_420" localSheetId="14">#REF!</definedName>
    <definedName name="F_18_420" localSheetId="15">#REF!</definedName>
    <definedName name="F_18_420" localSheetId="16">#REF!</definedName>
    <definedName name="F_18_420" localSheetId="17">#REF!</definedName>
    <definedName name="F_18_420" localSheetId="18">#REF!</definedName>
    <definedName name="F_18_420" localSheetId="20">#REF!</definedName>
    <definedName name="F_18_420" localSheetId="21">#REF!</definedName>
    <definedName name="F_18_420" localSheetId="7">#REF!</definedName>
    <definedName name="F_18_420" localSheetId="3">#REF!</definedName>
    <definedName name="F_18_420" localSheetId="11">#REF!</definedName>
    <definedName name="F_18_420">#REF!</definedName>
    <definedName name="F_18_450" localSheetId="13">#REF!</definedName>
    <definedName name="F_18_450" localSheetId="14">#REF!</definedName>
    <definedName name="F_18_450" localSheetId="15">#REF!</definedName>
    <definedName name="F_18_450" localSheetId="16">#REF!</definedName>
    <definedName name="F_18_450" localSheetId="17">#REF!</definedName>
    <definedName name="F_18_450" localSheetId="18">#REF!</definedName>
    <definedName name="F_18_450" localSheetId="20">#REF!</definedName>
    <definedName name="F_18_450" localSheetId="21">#REF!</definedName>
    <definedName name="F_18_450" localSheetId="7">#REF!</definedName>
    <definedName name="F_18_450" localSheetId="3">#REF!</definedName>
    <definedName name="F_18_450" localSheetId="11">#REF!</definedName>
    <definedName name="F_18_450">#REF!</definedName>
    <definedName name="F_18_480" localSheetId="13">#REF!</definedName>
    <definedName name="F_18_480" localSheetId="14">#REF!</definedName>
    <definedName name="F_18_480" localSheetId="15">#REF!</definedName>
    <definedName name="F_18_480" localSheetId="16">#REF!</definedName>
    <definedName name="F_18_480" localSheetId="17">#REF!</definedName>
    <definedName name="F_18_480" localSheetId="18">#REF!</definedName>
    <definedName name="F_18_480" localSheetId="20">#REF!</definedName>
    <definedName name="F_18_480" localSheetId="21">#REF!</definedName>
    <definedName name="F_18_480" localSheetId="7">#REF!</definedName>
    <definedName name="F_18_480" localSheetId="3">#REF!</definedName>
    <definedName name="F_18_480" localSheetId="11">#REF!</definedName>
    <definedName name="F_18_480">#REF!</definedName>
    <definedName name="F_18_510" localSheetId="13">#REF!</definedName>
    <definedName name="F_18_510" localSheetId="14">#REF!</definedName>
    <definedName name="F_18_510" localSheetId="15">#REF!</definedName>
    <definedName name="F_18_510" localSheetId="16">#REF!</definedName>
    <definedName name="F_18_510" localSheetId="17">#REF!</definedName>
    <definedName name="F_18_510" localSheetId="18">#REF!</definedName>
    <definedName name="F_18_510" localSheetId="20">#REF!</definedName>
    <definedName name="F_18_510" localSheetId="21">#REF!</definedName>
    <definedName name="F_18_510" localSheetId="7">#REF!</definedName>
    <definedName name="F_18_510" localSheetId="3">#REF!</definedName>
    <definedName name="F_18_510" localSheetId="11">#REF!</definedName>
    <definedName name="F_18_510">#REF!</definedName>
    <definedName name="F_18_540" localSheetId="13">#REF!</definedName>
    <definedName name="F_18_540" localSheetId="14">#REF!</definedName>
    <definedName name="F_18_540" localSheetId="15">#REF!</definedName>
    <definedName name="F_18_540" localSheetId="16">#REF!</definedName>
    <definedName name="F_18_540" localSheetId="17">#REF!</definedName>
    <definedName name="F_18_540" localSheetId="18">#REF!</definedName>
    <definedName name="F_18_540" localSheetId="20">#REF!</definedName>
    <definedName name="F_18_540" localSheetId="21">#REF!</definedName>
    <definedName name="F_18_540" localSheetId="7">#REF!</definedName>
    <definedName name="F_18_540" localSheetId="3">#REF!</definedName>
    <definedName name="F_18_540" localSheetId="11">#REF!</definedName>
    <definedName name="F_18_540">#REF!</definedName>
    <definedName name="F_18_570" localSheetId="13">#REF!</definedName>
    <definedName name="F_18_570" localSheetId="14">#REF!</definedName>
    <definedName name="F_18_570" localSheetId="15">#REF!</definedName>
    <definedName name="F_18_570" localSheetId="16">#REF!</definedName>
    <definedName name="F_18_570" localSheetId="17">#REF!</definedName>
    <definedName name="F_18_570" localSheetId="18">#REF!</definedName>
    <definedName name="F_18_570" localSheetId="20">#REF!</definedName>
    <definedName name="F_18_570" localSheetId="21">#REF!</definedName>
    <definedName name="F_18_570" localSheetId="7">#REF!</definedName>
    <definedName name="F_18_570" localSheetId="3">#REF!</definedName>
    <definedName name="F_18_570" localSheetId="11">#REF!</definedName>
    <definedName name="F_18_570">#REF!</definedName>
    <definedName name="F_18_60" localSheetId="13">#REF!</definedName>
    <definedName name="F_18_60" localSheetId="14">#REF!</definedName>
    <definedName name="F_18_60" localSheetId="15">#REF!</definedName>
    <definedName name="F_18_60" localSheetId="16">#REF!</definedName>
    <definedName name="F_18_60" localSheetId="17">#REF!</definedName>
    <definedName name="F_18_60" localSheetId="18">#REF!</definedName>
    <definedName name="F_18_60" localSheetId="20">#REF!</definedName>
    <definedName name="F_18_60" localSheetId="21">#REF!</definedName>
    <definedName name="F_18_60" localSheetId="7">#REF!</definedName>
    <definedName name="F_18_60" localSheetId="3">#REF!</definedName>
    <definedName name="F_18_60" localSheetId="11">#REF!</definedName>
    <definedName name="F_18_60">#REF!</definedName>
    <definedName name="F_18_600" localSheetId="13">#REF!</definedName>
    <definedName name="F_18_600" localSheetId="14">#REF!</definedName>
    <definedName name="F_18_600" localSheetId="15">#REF!</definedName>
    <definedName name="F_18_600" localSheetId="16">#REF!</definedName>
    <definedName name="F_18_600" localSheetId="17">#REF!</definedName>
    <definedName name="F_18_600" localSheetId="18">#REF!</definedName>
    <definedName name="F_18_600" localSheetId="20">#REF!</definedName>
    <definedName name="F_18_600" localSheetId="21">#REF!</definedName>
    <definedName name="F_18_600" localSheetId="7">#REF!</definedName>
    <definedName name="F_18_600" localSheetId="3">#REF!</definedName>
    <definedName name="F_18_600" localSheetId="11">#REF!</definedName>
    <definedName name="F_18_600">#REF!</definedName>
    <definedName name="F_18_630" localSheetId="13">#REF!</definedName>
    <definedName name="F_18_630" localSheetId="14">#REF!</definedName>
    <definedName name="F_18_630" localSheetId="15">#REF!</definedName>
    <definedName name="F_18_630" localSheetId="16">#REF!</definedName>
    <definedName name="F_18_630" localSheetId="17">#REF!</definedName>
    <definedName name="F_18_630" localSheetId="18">#REF!</definedName>
    <definedName name="F_18_630" localSheetId="20">#REF!</definedName>
    <definedName name="F_18_630" localSheetId="21">#REF!</definedName>
    <definedName name="F_18_630" localSheetId="7">#REF!</definedName>
    <definedName name="F_18_630" localSheetId="3">#REF!</definedName>
    <definedName name="F_18_630" localSheetId="11">#REF!</definedName>
    <definedName name="F_18_630">#REF!</definedName>
    <definedName name="F_18_660" localSheetId="13">#REF!</definedName>
    <definedName name="F_18_660" localSheetId="14">#REF!</definedName>
    <definedName name="F_18_660" localSheetId="15">#REF!</definedName>
    <definedName name="F_18_660" localSheetId="16">#REF!</definedName>
    <definedName name="F_18_660" localSheetId="17">#REF!</definedName>
    <definedName name="F_18_660" localSheetId="18">#REF!</definedName>
    <definedName name="F_18_660" localSheetId="20">#REF!</definedName>
    <definedName name="F_18_660" localSheetId="21">#REF!</definedName>
    <definedName name="F_18_660" localSheetId="7">#REF!</definedName>
    <definedName name="F_18_660" localSheetId="3">#REF!</definedName>
    <definedName name="F_18_660" localSheetId="11">#REF!</definedName>
    <definedName name="F_18_660">#REF!</definedName>
    <definedName name="F_18_690" localSheetId="13">#REF!</definedName>
    <definedName name="F_18_690" localSheetId="14">#REF!</definedName>
    <definedName name="F_18_690" localSheetId="15">#REF!</definedName>
    <definedName name="F_18_690" localSheetId="16">#REF!</definedName>
    <definedName name="F_18_690" localSheetId="17">#REF!</definedName>
    <definedName name="F_18_690" localSheetId="18">#REF!</definedName>
    <definedName name="F_18_690" localSheetId="20">#REF!</definedName>
    <definedName name="F_18_690" localSheetId="21">#REF!</definedName>
    <definedName name="F_18_690" localSheetId="7">#REF!</definedName>
    <definedName name="F_18_690" localSheetId="3">#REF!</definedName>
    <definedName name="F_18_690" localSheetId="11">#REF!</definedName>
    <definedName name="F_18_690">#REF!</definedName>
    <definedName name="F_18_720" localSheetId="13">#REF!</definedName>
    <definedName name="F_18_720" localSheetId="14">#REF!</definedName>
    <definedName name="F_18_720" localSheetId="15">#REF!</definedName>
    <definedName name="F_18_720" localSheetId="16">#REF!</definedName>
    <definedName name="F_18_720" localSheetId="17">#REF!</definedName>
    <definedName name="F_18_720" localSheetId="18">#REF!</definedName>
    <definedName name="F_18_720" localSheetId="20">#REF!</definedName>
    <definedName name="F_18_720" localSheetId="21">#REF!</definedName>
    <definedName name="F_18_720" localSheetId="7">#REF!</definedName>
    <definedName name="F_18_720" localSheetId="3">#REF!</definedName>
    <definedName name="F_18_720" localSheetId="11">#REF!</definedName>
    <definedName name="F_18_720">#REF!</definedName>
    <definedName name="F_18_90" localSheetId="13">#REF!</definedName>
    <definedName name="F_18_90" localSheetId="14">#REF!</definedName>
    <definedName name="F_18_90" localSheetId="15">#REF!</definedName>
    <definedName name="F_18_90" localSheetId="16">#REF!</definedName>
    <definedName name="F_18_90" localSheetId="17">#REF!</definedName>
    <definedName name="F_18_90" localSheetId="18">#REF!</definedName>
    <definedName name="F_18_90" localSheetId="20">#REF!</definedName>
    <definedName name="F_18_90" localSheetId="21">#REF!</definedName>
    <definedName name="F_18_90" localSheetId="7">#REF!</definedName>
    <definedName name="F_18_90" localSheetId="3">#REF!</definedName>
    <definedName name="F_18_90" localSheetId="11">#REF!</definedName>
    <definedName name="F_18_90">#REF!</definedName>
    <definedName name="F_19_120" localSheetId="13">#REF!</definedName>
    <definedName name="F_19_120" localSheetId="14">#REF!</definedName>
    <definedName name="F_19_120" localSheetId="15">#REF!</definedName>
    <definedName name="F_19_120" localSheetId="16">#REF!</definedName>
    <definedName name="F_19_120" localSheetId="17">#REF!</definedName>
    <definedName name="F_19_120" localSheetId="18">#REF!</definedName>
    <definedName name="F_19_120" localSheetId="20">#REF!</definedName>
    <definedName name="F_19_120" localSheetId="21">#REF!</definedName>
    <definedName name="F_19_120" localSheetId="7">#REF!</definedName>
    <definedName name="F_19_120" localSheetId="3">#REF!</definedName>
    <definedName name="F_19_120" localSheetId="11">#REF!</definedName>
    <definedName name="F_19_120">#REF!</definedName>
    <definedName name="F_19_150" localSheetId="13">#REF!</definedName>
    <definedName name="F_19_150" localSheetId="14">#REF!</definedName>
    <definedName name="F_19_150" localSheetId="15">#REF!</definedName>
    <definedName name="F_19_150" localSheetId="16">#REF!</definedName>
    <definedName name="F_19_150" localSheetId="17">#REF!</definedName>
    <definedName name="F_19_150" localSheetId="18">#REF!</definedName>
    <definedName name="F_19_150" localSheetId="20">#REF!</definedName>
    <definedName name="F_19_150" localSheetId="21">#REF!</definedName>
    <definedName name="F_19_150" localSheetId="7">#REF!</definedName>
    <definedName name="F_19_150" localSheetId="3">#REF!</definedName>
    <definedName name="F_19_150" localSheetId="11">#REF!</definedName>
    <definedName name="F_19_150">#REF!</definedName>
    <definedName name="F_19_180" localSheetId="13">#REF!</definedName>
    <definedName name="F_19_180" localSheetId="14">#REF!</definedName>
    <definedName name="F_19_180" localSheetId="15">#REF!</definedName>
    <definedName name="F_19_180" localSheetId="16">#REF!</definedName>
    <definedName name="F_19_180" localSheetId="17">#REF!</definedName>
    <definedName name="F_19_180" localSheetId="18">#REF!</definedName>
    <definedName name="F_19_180" localSheetId="20">#REF!</definedName>
    <definedName name="F_19_180" localSheetId="21">#REF!</definedName>
    <definedName name="F_19_180" localSheetId="7">#REF!</definedName>
    <definedName name="F_19_180" localSheetId="3">#REF!</definedName>
    <definedName name="F_19_180" localSheetId="11">#REF!</definedName>
    <definedName name="F_19_180">#REF!</definedName>
    <definedName name="F_19_210" localSheetId="13">#REF!</definedName>
    <definedName name="F_19_210" localSheetId="14">#REF!</definedName>
    <definedName name="F_19_210" localSheetId="15">#REF!</definedName>
    <definedName name="F_19_210" localSheetId="16">#REF!</definedName>
    <definedName name="F_19_210" localSheetId="17">#REF!</definedName>
    <definedName name="F_19_210" localSheetId="18">#REF!</definedName>
    <definedName name="F_19_210" localSheetId="20">#REF!</definedName>
    <definedName name="F_19_210" localSheetId="21">#REF!</definedName>
    <definedName name="F_19_210" localSheetId="7">#REF!</definedName>
    <definedName name="F_19_210" localSheetId="3">#REF!</definedName>
    <definedName name="F_19_210" localSheetId="11">#REF!</definedName>
    <definedName name="F_19_210">#REF!</definedName>
    <definedName name="F_19_240" localSheetId="13">#REF!</definedName>
    <definedName name="F_19_240" localSheetId="14">#REF!</definedName>
    <definedName name="F_19_240" localSheetId="15">#REF!</definedName>
    <definedName name="F_19_240" localSheetId="16">#REF!</definedName>
    <definedName name="F_19_240" localSheetId="17">#REF!</definedName>
    <definedName name="F_19_240" localSheetId="18">#REF!</definedName>
    <definedName name="F_19_240" localSheetId="20">#REF!</definedName>
    <definedName name="F_19_240" localSheetId="21">#REF!</definedName>
    <definedName name="F_19_240" localSheetId="7">#REF!</definedName>
    <definedName name="F_19_240" localSheetId="3">#REF!</definedName>
    <definedName name="F_19_240" localSheetId="11">#REF!</definedName>
    <definedName name="F_19_240">#REF!</definedName>
    <definedName name="F_19_270" localSheetId="13">#REF!</definedName>
    <definedName name="F_19_270" localSheetId="14">#REF!</definedName>
    <definedName name="F_19_270" localSheetId="15">#REF!</definedName>
    <definedName name="F_19_270" localSheetId="16">#REF!</definedName>
    <definedName name="F_19_270" localSheetId="17">#REF!</definedName>
    <definedName name="F_19_270" localSheetId="18">#REF!</definedName>
    <definedName name="F_19_270" localSheetId="20">#REF!</definedName>
    <definedName name="F_19_270" localSheetId="21">#REF!</definedName>
    <definedName name="F_19_270" localSheetId="7">#REF!</definedName>
    <definedName name="F_19_270" localSheetId="3">#REF!</definedName>
    <definedName name="F_19_270" localSheetId="11">#REF!</definedName>
    <definedName name="F_19_270">#REF!</definedName>
    <definedName name="F_19_30" localSheetId="13">#REF!</definedName>
    <definedName name="F_19_30" localSheetId="14">#REF!</definedName>
    <definedName name="F_19_30" localSheetId="15">#REF!</definedName>
    <definedName name="F_19_30" localSheetId="16">#REF!</definedName>
    <definedName name="F_19_30" localSheetId="17">#REF!</definedName>
    <definedName name="F_19_30" localSheetId="18">#REF!</definedName>
    <definedName name="F_19_30" localSheetId="20">#REF!</definedName>
    <definedName name="F_19_30" localSheetId="21">#REF!</definedName>
    <definedName name="F_19_30" localSheetId="7">#REF!</definedName>
    <definedName name="F_19_30" localSheetId="3">#REF!</definedName>
    <definedName name="F_19_30" localSheetId="11">#REF!</definedName>
    <definedName name="F_19_30">#REF!</definedName>
    <definedName name="F_19_300" localSheetId="13">#REF!</definedName>
    <definedName name="F_19_300" localSheetId="14">#REF!</definedName>
    <definedName name="F_19_300" localSheetId="15">#REF!</definedName>
    <definedName name="F_19_300" localSheetId="16">#REF!</definedName>
    <definedName name="F_19_300" localSheetId="17">#REF!</definedName>
    <definedName name="F_19_300" localSheetId="18">#REF!</definedName>
    <definedName name="F_19_300" localSheetId="20">#REF!</definedName>
    <definedName name="F_19_300" localSheetId="21">#REF!</definedName>
    <definedName name="F_19_300" localSheetId="7">#REF!</definedName>
    <definedName name="F_19_300" localSheetId="3">#REF!</definedName>
    <definedName name="F_19_300" localSheetId="11">#REF!</definedName>
    <definedName name="F_19_300">#REF!</definedName>
    <definedName name="F_19_330" localSheetId="13">#REF!</definedName>
    <definedName name="F_19_330" localSheetId="14">#REF!</definedName>
    <definedName name="F_19_330" localSheetId="15">#REF!</definedName>
    <definedName name="F_19_330" localSheetId="16">#REF!</definedName>
    <definedName name="F_19_330" localSheetId="17">#REF!</definedName>
    <definedName name="F_19_330" localSheetId="18">#REF!</definedName>
    <definedName name="F_19_330" localSheetId="20">#REF!</definedName>
    <definedName name="F_19_330" localSheetId="21">#REF!</definedName>
    <definedName name="F_19_330" localSheetId="7">#REF!</definedName>
    <definedName name="F_19_330" localSheetId="3">#REF!</definedName>
    <definedName name="F_19_330" localSheetId="11">#REF!</definedName>
    <definedName name="F_19_330">#REF!</definedName>
    <definedName name="F_19_360" localSheetId="13">#REF!</definedName>
    <definedName name="F_19_360" localSheetId="14">#REF!</definedName>
    <definedName name="F_19_360" localSheetId="15">#REF!</definedName>
    <definedName name="F_19_360" localSheetId="16">#REF!</definedName>
    <definedName name="F_19_360" localSheetId="17">#REF!</definedName>
    <definedName name="F_19_360" localSheetId="18">#REF!</definedName>
    <definedName name="F_19_360" localSheetId="20">#REF!</definedName>
    <definedName name="F_19_360" localSheetId="21">#REF!</definedName>
    <definedName name="F_19_360" localSheetId="7">#REF!</definedName>
    <definedName name="F_19_360" localSheetId="3">#REF!</definedName>
    <definedName name="F_19_360" localSheetId="11">#REF!</definedName>
    <definedName name="F_19_360">#REF!</definedName>
    <definedName name="F_19_390" localSheetId="13">#REF!</definedName>
    <definedName name="F_19_390" localSheetId="14">#REF!</definedName>
    <definedName name="F_19_390" localSheetId="15">#REF!</definedName>
    <definedName name="F_19_390" localSheetId="16">#REF!</definedName>
    <definedName name="F_19_390" localSheetId="17">#REF!</definedName>
    <definedName name="F_19_390" localSheetId="18">#REF!</definedName>
    <definedName name="F_19_390" localSheetId="20">#REF!</definedName>
    <definedName name="F_19_390" localSheetId="21">#REF!</definedName>
    <definedName name="F_19_390" localSheetId="7">#REF!</definedName>
    <definedName name="F_19_390" localSheetId="3">#REF!</definedName>
    <definedName name="F_19_390" localSheetId="11">#REF!</definedName>
    <definedName name="F_19_390">#REF!</definedName>
    <definedName name="F_19_420" localSheetId="13">#REF!</definedName>
    <definedName name="F_19_420" localSheetId="14">#REF!</definedName>
    <definedName name="F_19_420" localSheetId="15">#REF!</definedName>
    <definedName name="F_19_420" localSheetId="16">#REF!</definedName>
    <definedName name="F_19_420" localSheetId="17">#REF!</definedName>
    <definedName name="F_19_420" localSheetId="18">#REF!</definedName>
    <definedName name="F_19_420" localSheetId="20">#REF!</definedName>
    <definedName name="F_19_420" localSheetId="21">#REF!</definedName>
    <definedName name="F_19_420" localSheetId="7">#REF!</definedName>
    <definedName name="F_19_420" localSheetId="3">#REF!</definedName>
    <definedName name="F_19_420" localSheetId="11">#REF!</definedName>
    <definedName name="F_19_420">#REF!</definedName>
    <definedName name="F_19_450" localSheetId="13">#REF!</definedName>
    <definedName name="F_19_450" localSheetId="14">#REF!</definedName>
    <definedName name="F_19_450" localSheetId="15">#REF!</definedName>
    <definedName name="F_19_450" localSheetId="16">#REF!</definedName>
    <definedName name="F_19_450" localSheetId="17">#REF!</definedName>
    <definedName name="F_19_450" localSheetId="18">#REF!</definedName>
    <definedName name="F_19_450" localSheetId="20">#REF!</definedName>
    <definedName name="F_19_450" localSheetId="21">#REF!</definedName>
    <definedName name="F_19_450" localSheetId="7">#REF!</definedName>
    <definedName name="F_19_450" localSheetId="3">#REF!</definedName>
    <definedName name="F_19_450" localSheetId="11">#REF!</definedName>
    <definedName name="F_19_450">#REF!</definedName>
    <definedName name="F_19_480" localSheetId="13">#REF!</definedName>
    <definedName name="F_19_480" localSheetId="14">#REF!</definedName>
    <definedName name="F_19_480" localSheetId="15">#REF!</definedName>
    <definedName name="F_19_480" localSheetId="16">#REF!</definedName>
    <definedName name="F_19_480" localSheetId="17">#REF!</definedName>
    <definedName name="F_19_480" localSheetId="18">#REF!</definedName>
    <definedName name="F_19_480" localSheetId="20">#REF!</definedName>
    <definedName name="F_19_480" localSheetId="21">#REF!</definedName>
    <definedName name="F_19_480" localSheetId="7">#REF!</definedName>
    <definedName name="F_19_480" localSheetId="3">#REF!</definedName>
    <definedName name="F_19_480" localSheetId="11">#REF!</definedName>
    <definedName name="F_19_480">#REF!</definedName>
    <definedName name="F_19_510" localSheetId="13">#REF!</definedName>
    <definedName name="F_19_510" localSheetId="14">#REF!</definedName>
    <definedName name="F_19_510" localSheetId="15">#REF!</definedName>
    <definedName name="F_19_510" localSheetId="16">#REF!</definedName>
    <definedName name="F_19_510" localSheetId="17">#REF!</definedName>
    <definedName name="F_19_510" localSheetId="18">#REF!</definedName>
    <definedName name="F_19_510" localSheetId="20">#REF!</definedName>
    <definedName name="F_19_510" localSheetId="21">#REF!</definedName>
    <definedName name="F_19_510" localSheetId="7">#REF!</definedName>
    <definedName name="F_19_510" localSheetId="3">#REF!</definedName>
    <definedName name="F_19_510" localSheetId="11">#REF!</definedName>
    <definedName name="F_19_510">#REF!</definedName>
    <definedName name="F_19_540" localSheetId="13">#REF!</definedName>
    <definedName name="F_19_540" localSheetId="14">#REF!</definedName>
    <definedName name="F_19_540" localSheetId="15">#REF!</definedName>
    <definedName name="F_19_540" localSheetId="16">#REF!</definedName>
    <definedName name="F_19_540" localSheetId="17">#REF!</definedName>
    <definedName name="F_19_540" localSheetId="18">#REF!</definedName>
    <definedName name="F_19_540" localSheetId="20">#REF!</definedName>
    <definedName name="F_19_540" localSheetId="21">#REF!</definedName>
    <definedName name="F_19_540" localSheetId="7">#REF!</definedName>
    <definedName name="F_19_540" localSheetId="3">#REF!</definedName>
    <definedName name="F_19_540" localSheetId="11">#REF!</definedName>
    <definedName name="F_19_540">#REF!</definedName>
    <definedName name="F_19_570" localSheetId="13">#REF!</definedName>
    <definedName name="F_19_570" localSheetId="14">#REF!</definedName>
    <definedName name="F_19_570" localSheetId="15">#REF!</definedName>
    <definedName name="F_19_570" localSheetId="16">#REF!</definedName>
    <definedName name="F_19_570" localSheetId="17">#REF!</definedName>
    <definedName name="F_19_570" localSheetId="18">#REF!</definedName>
    <definedName name="F_19_570" localSheetId="20">#REF!</definedName>
    <definedName name="F_19_570" localSheetId="21">#REF!</definedName>
    <definedName name="F_19_570" localSheetId="7">#REF!</definedName>
    <definedName name="F_19_570" localSheetId="3">#REF!</definedName>
    <definedName name="F_19_570" localSheetId="11">#REF!</definedName>
    <definedName name="F_19_570">#REF!</definedName>
    <definedName name="F_19_60" localSheetId="13">#REF!</definedName>
    <definedName name="F_19_60" localSheetId="14">#REF!</definedName>
    <definedName name="F_19_60" localSheetId="15">#REF!</definedName>
    <definedName name="F_19_60" localSheetId="16">#REF!</definedName>
    <definedName name="F_19_60" localSheetId="17">#REF!</definedName>
    <definedName name="F_19_60" localSheetId="18">#REF!</definedName>
    <definedName name="F_19_60" localSheetId="20">#REF!</definedName>
    <definedName name="F_19_60" localSheetId="21">#REF!</definedName>
    <definedName name="F_19_60" localSheetId="7">#REF!</definedName>
    <definedName name="F_19_60" localSheetId="3">#REF!</definedName>
    <definedName name="F_19_60" localSheetId="11">#REF!</definedName>
    <definedName name="F_19_60">#REF!</definedName>
    <definedName name="F_19_600" localSheetId="13">#REF!</definedName>
    <definedName name="F_19_600" localSheetId="14">#REF!</definedName>
    <definedName name="F_19_600" localSheetId="15">#REF!</definedName>
    <definedName name="F_19_600" localSheetId="16">#REF!</definedName>
    <definedName name="F_19_600" localSheetId="17">#REF!</definedName>
    <definedName name="F_19_600" localSheetId="18">#REF!</definedName>
    <definedName name="F_19_600" localSheetId="20">#REF!</definedName>
    <definedName name="F_19_600" localSheetId="21">#REF!</definedName>
    <definedName name="F_19_600" localSheetId="7">#REF!</definedName>
    <definedName name="F_19_600" localSheetId="3">#REF!</definedName>
    <definedName name="F_19_600" localSheetId="11">#REF!</definedName>
    <definedName name="F_19_600">#REF!</definedName>
    <definedName name="F_19_630" localSheetId="13">#REF!</definedName>
    <definedName name="F_19_630" localSheetId="14">#REF!</definedName>
    <definedName name="F_19_630" localSheetId="15">#REF!</definedName>
    <definedName name="F_19_630" localSheetId="16">#REF!</definedName>
    <definedName name="F_19_630" localSheetId="17">#REF!</definedName>
    <definedName name="F_19_630" localSheetId="18">#REF!</definedName>
    <definedName name="F_19_630" localSheetId="20">#REF!</definedName>
    <definedName name="F_19_630" localSheetId="21">#REF!</definedName>
    <definedName name="F_19_630" localSheetId="7">#REF!</definedName>
    <definedName name="F_19_630" localSheetId="3">#REF!</definedName>
    <definedName name="F_19_630" localSheetId="11">#REF!</definedName>
    <definedName name="F_19_630">#REF!</definedName>
    <definedName name="F_19_660" localSheetId="13">#REF!</definedName>
    <definedName name="F_19_660" localSheetId="14">#REF!</definedName>
    <definedName name="F_19_660" localSheetId="15">#REF!</definedName>
    <definedName name="F_19_660" localSheetId="16">#REF!</definedName>
    <definedName name="F_19_660" localSheetId="17">#REF!</definedName>
    <definedName name="F_19_660" localSheetId="18">#REF!</definedName>
    <definedName name="F_19_660" localSheetId="20">#REF!</definedName>
    <definedName name="F_19_660" localSheetId="21">#REF!</definedName>
    <definedName name="F_19_660" localSheetId="7">#REF!</definedName>
    <definedName name="F_19_660" localSheetId="3">#REF!</definedName>
    <definedName name="F_19_660" localSheetId="11">#REF!</definedName>
    <definedName name="F_19_660">#REF!</definedName>
    <definedName name="F_19_690" localSheetId="13">#REF!</definedName>
    <definedName name="F_19_690" localSheetId="14">#REF!</definedName>
    <definedName name="F_19_690" localSheetId="15">#REF!</definedName>
    <definedName name="F_19_690" localSheetId="16">#REF!</definedName>
    <definedName name="F_19_690" localSheetId="17">#REF!</definedName>
    <definedName name="F_19_690" localSheetId="18">#REF!</definedName>
    <definedName name="F_19_690" localSheetId="20">#REF!</definedName>
    <definedName name="F_19_690" localSheetId="21">#REF!</definedName>
    <definedName name="F_19_690" localSheetId="7">#REF!</definedName>
    <definedName name="F_19_690" localSheetId="3">#REF!</definedName>
    <definedName name="F_19_690" localSheetId="11">#REF!</definedName>
    <definedName name="F_19_690">#REF!</definedName>
    <definedName name="F_19_720" localSheetId="13">#REF!</definedName>
    <definedName name="F_19_720" localSheetId="14">#REF!</definedName>
    <definedName name="F_19_720" localSheetId="15">#REF!</definedName>
    <definedName name="F_19_720" localSheetId="16">#REF!</definedName>
    <definedName name="F_19_720" localSheetId="17">#REF!</definedName>
    <definedName name="F_19_720" localSheetId="18">#REF!</definedName>
    <definedName name="F_19_720" localSheetId="20">#REF!</definedName>
    <definedName name="F_19_720" localSheetId="21">#REF!</definedName>
    <definedName name="F_19_720" localSheetId="7">#REF!</definedName>
    <definedName name="F_19_720" localSheetId="3">#REF!</definedName>
    <definedName name="F_19_720" localSheetId="11">#REF!</definedName>
    <definedName name="F_19_720">#REF!</definedName>
    <definedName name="F_19_90" localSheetId="13">#REF!</definedName>
    <definedName name="F_19_90" localSheetId="14">#REF!</definedName>
    <definedName name="F_19_90" localSheetId="15">#REF!</definedName>
    <definedName name="F_19_90" localSheetId="16">#REF!</definedName>
    <definedName name="F_19_90" localSheetId="17">#REF!</definedName>
    <definedName name="F_19_90" localSheetId="18">#REF!</definedName>
    <definedName name="F_19_90" localSheetId="20">#REF!</definedName>
    <definedName name="F_19_90" localSheetId="21">#REF!</definedName>
    <definedName name="F_19_90" localSheetId="7">#REF!</definedName>
    <definedName name="F_19_90" localSheetId="3">#REF!</definedName>
    <definedName name="F_19_90" localSheetId="11">#REF!</definedName>
    <definedName name="F_19_90">#REF!</definedName>
    <definedName name="F_20_120" localSheetId="13">#REF!</definedName>
    <definedName name="F_20_120" localSheetId="14">#REF!</definedName>
    <definedName name="F_20_120" localSheetId="15">#REF!</definedName>
    <definedName name="F_20_120" localSheetId="16">#REF!</definedName>
    <definedName name="F_20_120" localSheetId="17">#REF!</definedName>
    <definedName name="F_20_120" localSheetId="18">#REF!</definedName>
    <definedName name="F_20_120" localSheetId="20">#REF!</definedName>
    <definedName name="F_20_120" localSheetId="21">#REF!</definedName>
    <definedName name="F_20_120" localSheetId="7">#REF!</definedName>
    <definedName name="F_20_120" localSheetId="3">#REF!</definedName>
    <definedName name="F_20_120" localSheetId="11">#REF!</definedName>
    <definedName name="F_20_120">#REF!</definedName>
    <definedName name="F_20_150" localSheetId="13">#REF!</definedName>
    <definedName name="F_20_150" localSheetId="14">#REF!</definedName>
    <definedName name="F_20_150" localSheetId="15">#REF!</definedName>
    <definedName name="F_20_150" localSheetId="16">#REF!</definedName>
    <definedName name="F_20_150" localSheetId="17">#REF!</definedName>
    <definedName name="F_20_150" localSheetId="18">#REF!</definedName>
    <definedName name="F_20_150" localSheetId="20">#REF!</definedName>
    <definedName name="F_20_150" localSheetId="21">#REF!</definedName>
    <definedName name="F_20_150" localSheetId="7">#REF!</definedName>
    <definedName name="F_20_150" localSheetId="3">#REF!</definedName>
    <definedName name="F_20_150" localSheetId="11">#REF!</definedName>
    <definedName name="F_20_150">#REF!</definedName>
    <definedName name="F_20_180" localSheetId="13">#REF!</definedName>
    <definedName name="F_20_180" localSheetId="14">#REF!</definedName>
    <definedName name="F_20_180" localSheetId="15">#REF!</definedName>
    <definedName name="F_20_180" localSheetId="16">#REF!</definedName>
    <definedName name="F_20_180" localSheetId="17">#REF!</definedName>
    <definedName name="F_20_180" localSheetId="18">#REF!</definedName>
    <definedName name="F_20_180" localSheetId="20">#REF!</definedName>
    <definedName name="F_20_180" localSheetId="21">#REF!</definedName>
    <definedName name="F_20_180" localSheetId="7">#REF!</definedName>
    <definedName name="F_20_180" localSheetId="3">#REF!</definedName>
    <definedName name="F_20_180" localSheetId="11">#REF!</definedName>
    <definedName name="F_20_180">#REF!</definedName>
    <definedName name="F_20_210" localSheetId="13">#REF!</definedName>
    <definedName name="F_20_210" localSheetId="14">#REF!</definedName>
    <definedName name="F_20_210" localSheetId="15">#REF!</definedName>
    <definedName name="F_20_210" localSheetId="16">#REF!</definedName>
    <definedName name="F_20_210" localSheetId="17">#REF!</definedName>
    <definedName name="F_20_210" localSheetId="18">#REF!</definedName>
    <definedName name="F_20_210" localSheetId="20">#REF!</definedName>
    <definedName name="F_20_210" localSheetId="21">#REF!</definedName>
    <definedName name="F_20_210" localSheetId="7">#REF!</definedName>
    <definedName name="F_20_210" localSheetId="3">#REF!</definedName>
    <definedName name="F_20_210" localSheetId="11">#REF!</definedName>
    <definedName name="F_20_210">#REF!</definedName>
    <definedName name="F_20_240" localSheetId="13">#REF!</definedName>
    <definedName name="F_20_240" localSheetId="14">#REF!</definedName>
    <definedName name="F_20_240" localSheetId="15">#REF!</definedName>
    <definedName name="F_20_240" localSheetId="16">#REF!</definedName>
    <definedName name="F_20_240" localSheetId="17">#REF!</definedName>
    <definedName name="F_20_240" localSheetId="18">#REF!</definedName>
    <definedName name="F_20_240" localSheetId="20">#REF!</definedName>
    <definedName name="F_20_240" localSheetId="21">#REF!</definedName>
    <definedName name="F_20_240" localSheetId="7">#REF!</definedName>
    <definedName name="F_20_240" localSheetId="3">#REF!</definedName>
    <definedName name="F_20_240" localSheetId="11">#REF!</definedName>
    <definedName name="F_20_240">#REF!</definedName>
    <definedName name="F_20_270" localSheetId="13">#REF!</definedName>
    <definedName name="F_20_270" localSheetId="14">#REF!</definedName>
    <definedName name="F_20_270" localSheetId="15">#REF!</definedName>
    <definedName name="F_20_270" localSheetId="16">#REF!</definedName>
    <definedName name="F_20_270" localSheetId="17">#REF!</definedName>
    <definedName name="F_20_270" localSheetId="18">#REF!</definedName>
    <definedName name="F_20_270" localSheetId="20">#REF!</definedName>
    <definedName name="F_20_270" localSheetId="21">#REF!</definedName>
    <definedName name="F_20_270" localSheetId="7">#REF!</definedName>
    <definedName name="F_20_270" localSheetId="3">#REF!</definedName>
    <definedName name="F_20_270" localSheetId="11">#REF!</definedName>
    <definedName name="F_20_270">#REF!</definedName>
    <definedName name="F_20_30" localSheetId="13">#REF!</definedName>
    <definedName name="F_20_30" localSheetId="14">#REF!</definedName>
    <definedName name="F_20_30" localSheetId="15">#REF!</definedName>
    <definedName name="F_20_30" localSheetId="16">#REF!</definedName>
    <definedName name="F_20_30" localSheetId="17">#REF!</definedName>
    <definedName name="F_20_30" localSheetId="18">#REF!</definedName>
    <definedName name="F_20_30" localSheetId="20">#REF!</definedName>
    <definedName name="F_20_30" localSheetId="21">#REF!</definedName>
    <definedName name="F_20_30" localSheetId="7">#REF!</definedName>
    <definedName name="F_20_30" localSheetId="3">#REF!</definedName>
    <definedName name="F_20_30" localSheetId="11">#REF!</definedName>
    <definedName name="F_20_30">#REF!</definedName>
    <definedName name="F_20_300" localSheetId="13">#REF!</definedName>
    <definedName name="F_20_300" localSheetId="14">#REF!</definedName>
    <definedName name="F_20_300" localSheetId="15">#REF!</definedName>
    <definedName name="F_20_300" localSheetId="16">#REF!</definedName>
    <definedName name="F_20_300" localSheetId="17">#REF!</definedName>
    <definedName name="F_20_300" localSheetId="18">#REF!</definedName>
    <definedName name="F_20_300" localSheetId="20">#REF!</definedName>
    <definedName name="F_20_300" localSheetId="21">#REF!</definedName>
    <definedName name="F_20_300" localSheetId="7">#REF!</definedName>
    <definedName name="F_20_300" localSheetId="3">#REF!</definedName>
    <definedName name="F_20_300" localSheetId="11">#REF!</definedName>
    <definedName name="F_20_300">#REF!</definedName>
    <definedName name="F_20_330" localSheetId="13">#REF!</definedName>
    <definedName name="F_20_330" localSheetId="14">#REF!</definedName>
    <definedName name="F_20_330" localSheetId="15">#REF!</definedName>
    <definedName name="F_20_330" localSheetId="16">#REF!</definedName>
    <definedName name="F_20_330" localSheetId="17">#REF!</definedName>
    <definedName name="F_20_330" localSheetId="18">#REF!</definedName>
    <definedName name="F_20_330" localSheetId="20">#REF!</definedName>
    <definedName name="F_20_330" localSheetId="21">#REF!</definedName>
    <definedName name="F_20_330" localSheetId="7">#REF!</definedName>
    <definedName name="F_20_330" localSheetId="3">#REF!</definedName>
    <definedName name="F_20_330" localSheetId="11">#REF!</definedName>
    <definedName name="F_20_330">#REF!</definedName>
    <definedName name="F_20_360" localSheetId="13">#REF!</definedName>
    <definedName name="F_20_360" localSheetId="14">#REF!</definedName>
    <definedName name="F_20_360" localSheetId="15">#REF!</definedName>
    <definedName name="F_20_360" localSheetId="16">#REF!</definedName>
    <definedName name="F_20_360" localSheetId="17">#REF!</definedName>
    <definedName name="F_20_360" localSheetId="18">#REF!</definedName>
    <definedName name="F_20_360" localSheetId="20">#REF!</definedName>
    <definedName name="F_20_360" localSheetId="21">#REF!</definedName>
    <definedName name="F_20_360" localSheetId="7">#REF!</definedName>
    <definedName name="F_20_360" localSheetId="3">#REF!</definedName>
    <definedName name="F_20_360" localSheetId="11">#REF!</definedName>
    <definedName name="F_20_360">#REF!</definedName>
    <definedName name="F_20_390" localSheetId="13">#REF!</definedName>
    <definedName name="F_20_390" localSheetId="14">#REF!</definedName>
    <definedName name="F_20_390" localSheetId="15">#REF!</definedName>
    <definedName name="F_20_390" localSheetId="16">#REF!</definedName>
    <definedName name="F_20_390" localSheetId="17">#REF!</definedName>
    <definedName name="F_20_390" localSheetId="18">#REF!</definedName>
    <definedName name="F_20_390" localSheetId="20">#REF!</definedName>
    <definedName name="F_20_390" localSheetId="21">#REF!</definedName>
    <definedName name="F_20_390" localSheetId="7">#REF!</definedName>
    <definedName name="F_20_390" localSheetId="3">#REF!</definedName>
    <definedName name="F_20_390" localSheetId="11">#REF!</definedName>
    <definedName name="F_20_390">#REF!</definedName>
    <definedName name="F_20_420" localSheetId="13">#REF!</definedName>
    <definedName name="F_20_420" localSheetId="14">#REF!</definedName>
    <definedName name="F_20_420" localSheetId="15">#REF!</definedName>
    <definedName name="F_20_420" localSheetId="16">#REF!</definedName>
    <definedName name="F_20_420" localSheetId="17">#REF!</definedName>
    <definedName name="F_20_420" localSheetId="18">#REF!</definedName>
    <definedName name="F_20_420" localSheetId="20">#REF!</definedName>
    <definedName name="F_20_420" localSheetId="21">#REF!</definedName>
    <definedName name="F_20_420" localSheetId="7">#REF!</definedName>
    <definedName name="F_20_420" localSheetId="3">#REF!</definedName>
    <definedName name="F_20_420" localSheetId="11">#REF!</definedName>
    <definedName name="F_20_420">#REF!</definedName>
    <definedName name="F_20_450" localSheetId="13">#REF!</definedName>
    <definedName name="F_20_450" localSheetId="14">#REF!</definedName>
    <definedName name="F_20_450" localSheetId="15">#REF!</definedName>
    <definedName name="F_20_450" localSheetId="16">#REF!</definedName>
    <definedName name="F_20_450" localSheetId="17">#REF!</definedName>
    <definedName name="F_20_450" localSheetId="18">#REF!</definedName>
    <definedName name="F_20_450" localSheetId="20">#REF!</definedName>
    <definedName name="F_20_450" localSheetId="21">#REF!</definedName>
    <definedName name="F_20_450" localSheetId="7">#REF!</definedName>
    <definedName name="F_20_450" localSheetId="3">#REF!</definedName>
    <definedName name="F_20_450" localSheetId="11">#REF!</definedName>
    <definedName name="F_20_450">#REF!</definedName>
    <definedName name="F_20_480" localSheetId="13">#REF!</definedName>
    <definedName name="F_20_480" localSheetId="14">#REF!</definedName>
    <definedName name="F_20_480" localSheetId="15">#REF!</definedName>
    <definedName name="F_20_480" localSheetId="16">#REF!</definedName>
    <definedName name="F_20_480" localSheetId="17">#REF!</definedName>
    <definedName name="F_20_480" localSheetId="18">#REF!</definedName>
    <definedName name="F_20_480" localSheetId="20">#REF!</definedName>
    <definedName name="F_20_480" localSheetId="21">#REF!</definedName>
    <definedName name="F_20_480" localSheetId="7">#REF!</definedName>
    <definedName name="F_20_480" localSheetId="3">#REF!</definedName>
    <definedName name="F_20_480" localSheetId="11">#REF!</definedName>
    <definedName name="F_20_480">#REF!</definedName>
    <definedName name="F_20_510" localSheetId="13">#REF!</definedName>
    <definedName name="F_20_510" localSheetId="14">#REF!</definedName>
    <definedName name="F_20_510" localSheetId="15">#REF!</definedName>
    <definedName name="F_20_510" localSheetId="16">#REF!</definedName>
    <definedName name="F_20_510" localSheetId="17">#REF!</definedName>
    <definedName name="F_20_510" localSheetId="18">#REF!</definedName>
    <definedName name="F_20_510" localSheetId="20">#REF!</definedName>
    <definedName name="F_20_510" localSheetId="21">#REF!</definedName>
    <definedName name="F_20_510" localSheetId="7">#REF!</definedName>
    <definedName name="F_20_510" localSheetId="3">#REF!</definedName>
    <definedName name="F_20_510" localSheetId="11">#REF!</definedName>
    <definedName name="F_20_510">#REF!</definedName>
    <definedName name="F_20_540" localSheetId="13">#REF!</definedName>
    <definedName name="F_20_540" localSheetId="14">#REF!</definedName>
    <definedName name="F_20_540" localSheetId="15">#REF!</definedName>
    <definedName name="F_20_540" localSheetId="16">#REF!</definedName>
    <definedName name="F_20_540" localSheetId="17">#REF!</definedName>
    <definedName name="F_20_540" localSheetId="18">#REF!</definedName>
    <definedName name="F_20_540" localSheetId="20">#REF!</definedName>
    <definedName name="F_20_540" localSheetId="21">#REF!</definedName>
    <definedName name="F_20_540" localSheetId="7">#REF!</definedName>
    <definedName name="F_20_540" localSheetId="3">#REF!</definedName>
    <definedName name="F_20_540" localSheetId="11">#REF!</definedName>
    <definedName name="F_20_540">#REF!</definedName>
    <definedName name="F_20_570" localSheetId="13">#REF!</definedName>
    <definedName name="F_20_570" localSheetId="14">#REF!</definedName>
    <definedName name="F_20_570" localSheetId="15">#REF!</definedName>
    <definedName name="F_20_570" localSheetId="16">#REF!</definedName>
    <definedName name="F_20_570" localSheetId="17">#REF!</definedName>
    <definedName name="F_20_570" localSheetId="18">#REF!</definedName>
    <definedName name="F_20_570" localSheetId="20">#REF!</definedName>
    <definedName name="F_20_570" localSheetId="21">#REF!</definedName>
    <definedName name="F_20_570" localSheetId="7">#REF!</definedName>
    <definedName name="F_20_570" localSheetId="3">#REF!</definedName>
    <definedName name="F_20_570" localSheetId="11">#REF!</definedName>
    <definedName name="F_20_570">#REF!</definedName>
    <definedName name="F_20_60" localSheetId="13">#REF!</definedName>
    <definedName name="F_20_60" localSheetId="14">#REF!</definedName>
    <definedName name="F_20_60" localSheetId="15">#REF!</definedName>
    <definedName name="F_20_60" localSheetId="16">#REF!</definedName>
    <definedName name="F_20_60" localSheetId="17">#REF!</definedName>
    <definedName name="F_20_60" localSheetId="18">#REF!</definedName>
    <definedName name="F_20_60" localSheetId="20">#REF!</definedName>
    <definedName name="F_20_60" localSheetId="21">#REF!</definedName>
    <definedName name="F_20_60" localSheetId="7">#REF!</definedName>
    <definedName name="F_20_60" localSheetId="3">#REF!</definedName>
    <definedName name="F_20_60" localSheetId="11">#REF!</definedName>
    <definedName name="F_20_60">#REF!</definedName>
    <definedName name="F_20_600" localSheetId="13">#REF!</definedName>
    <definedName name="F_20_600" localSheetId="14">#REF!</definedName>
    <definedName name="F_20_600" localSheetId="15">#REF!</definedName>
    <definedName name="F_20_600" localSheetId="16">#REF!</definedName>
    <definedName name="F_20_600" localSheetId="17">#REF!</definedName>
    <definedName name="F_20_600" localSheetId="18">#REF!</definedName>
    <definedName name="F_20_600" localSheetId="20">#REF!</definedName>
    <definedName name="F_20_600" localSheetId="21">#REF!</definedName>
    <definedName name="F_20_600" localSheetId="7">#REF!</definedName>
    <definedName name="F_20_600" localSheetId="3">#REF!</definedName>
    <definedName name="F_20_600" localSheetId="11">#REF!</definedName>
    <definedName name="F_20_600">#REF!</definedName>
    <definedName name="F_20_630" localSheetId="13">#REF!</definedName>
    <definedName name="F_20_630" localSheetId="14">#REF!</definedName>
    <definedName name="F_20_630" localSheetId="15">#REF!</definedName>
    <definedName name="F_20_630" localSheetId="16">#REF!</definedName>
    <definedName name="F_20_630" localSheetId="17">#REF!</definedName>
    <definedName name="F_20_630" localSheetId="18">#REF!</definedName>
    <definedName name="F_20_630" localSheetId="20">#REF!</definedName>
    <definedName name="F_20_630" localSheetId="21">#REF!</definedName>
    <definedName name="F_20_630" localSheetId="7">#REF!</definedName>
    <definedName name="F_20_630" localSheetId="3">#REF!</definedName>
    <definedName name="F_20_630" localSheetId="11">#REF!</definedName>
    <definedName name="F_20_630">#REF!</definedName>
    <definedName name="F_20_660" localSheetId="13">#REF!</definedName>
    <definedName name="F_20_660" localSheetId="14">#REF!</definedName>
    <definedName name="F_20_660" localSheetId="15">#REF!</definedName>
    <definedName name="F_20_660" localSheetId="16">#REF!</definedName>
    <definedName name="F_20_660" localSheetId="17">#REF!</definedName>
    <definedName name="F_20_660" localSheetId="18">#REF!</definedName>
    <definedName name="F_20_660" localSheetId="20">#REF!</definedName>
    <definedName name="F_20_660" localSheetId="21">#REF!</definedName>
    <definedName name="F_20_660" localSheetId="7">#REF!</definedName>
    <definedName name="F_20_660" localSheetId="3">#REF!</definedName>
    <definedName name="F_20_660" localSheetId="11">#REF!</definedName>
    <definedName name="F_20_660">#REF!</definedName>
    <definedName name="F_20_690" localSheetId="13">#REF!</definedName>
    <definedName name="F_20_690" localSheetId="14">#REF!</definedName>
    <definedName name="F_20_690" localSheetId="15">#REF!</definedName>
    <definedName name="F_20_690" localSheetId="16">#REF!</definedName>
    <definedName name="F_20_690" localSheetId="17">#REF!</definedName>
    <definedName name="F_20_690" localSheetId="18">#REF!</definedName>
    <definedName name="F_20_690" localSheetId="20">#REF!</definedName>
    <definedName name="F_20_690" localSheetId="21">#REF!</definedName>
    <definedName name="F_20_690" localSheetId="7">#REF!</definedName>
    <definedName name="F_20_690" localSheetId="3">#REF!</definedName>
    <definedName name="F_20_690" localSheetId="11">#REF!</definedName>
    <definedName name="F_20_690">#REF!</definedName>
    <definedName name="F_20_720" localSheetId="13">#REF!</definedName>
    <definedName name="F_20_720" localSheetId="14">#REF!</definedName>
    <definedName name="F_20_720" localSheetId="15">#REF!</definedName>
    <definedName name="F_20_720" localSheetId="16">#REF!</definedName>
    <definedName name="F_20_720" localSheetId="17">#REF!</definedName>
    <definedName name="F_20_720" localSheetId="18">#REF!</definedName>
    <definedName name="F_20_720" localSheetId="20">#REF!</definedName>
    <definedName name="F_20_720" localSheetId="21">#REF!</definedName>
    <definedName name="F_20_720" localSheetId="7">#REF!</definedName>
    <definedName name="F_20_720" localSheetId="3">#REF!</definedName>
    <definedName name="F_20_720" localSheetId="11">#REF!</definedName>
    <definedName name="F_20_720">#REF!</definedName>
    <definedName name="F_20_90" localSheetId="13">#REF!</definedName>
    <definedName name="F_20_90" localSheetId="14">#REF!</definedName>
    <definedName name="F_20_90" localSheetId="15">#REF!</definedName>
    <definedName name="F_20_90" localSheetId="16">#REF!</definedName>
    <definedName name="F_20_90" localSheetId="17">#REF!</definedName>
    <definedName name="F_20_90" localSheetId="18">#REF!</definedName>
    <definedName name="F_20_90" localSheetId="20">#REF!</definedName>
    <definedName name="F_20_90" localSheetId="21">#REF!</definedName>
    <definedName name="F_20_90" localSheetId="7">#REF!</definedName>
    <definedName name="F_20_90" localSheetId="3">#REF!</definedName>
    <definedName name="F_20_90" localSheetId="11">#REF!</definedName>
    <definedName name="F_20_90">#REF!</definedName>
    <definedName name="FATOR_1" localSheetId="13">#REF!</definedName>
    <definedName name="FATOR_1" localSheetId="14">#REF!</definedName>
    <definedName name="FATOR_1" localSheetId="15">#REF!</definedName>
    <definedName name="FATOR_1" localSheetId="16">#REF!</definedName>
    <definedName name="FATOR_1" localSheetId="17">#REF!</definedName>
    <definedName name="FATOR_1" localSheetId="18">#REF!</definedName>
    <definedName name="FATOR_1" localSheetId="20">#REF!</definedName>
    <definedName name="FATOR_1" localSheetId="21">#REF!</definedName>
    <definedName name="FATOR_1" localSheetId="22">#REF!</definedName>
    <definedName name="FATOR_1" localSheetId="7">#REF!</definedName>
    <definedName name="FATOR_1" localSheetId="3">#REF!</definedName>
    <definedName name="FATOR_1" localSheetId="11">#REF!</definedName>
    <definedName name="FATOR_1">[5]RESUMO!#REF!</definedName>
    <definedName name="FATOR1" localSheetId="13">#REF!</definedName>
    <definedName name="FATOR1" localSheetId="14">#REF!</definedName>
    <definedName name="FATOR1" localSheetId="15">#REF!</definedName>
    <definedName name="FATOR1" localSheetId="16">#REF!</definedName>
    <definedName name="FATOR1" localSheetId="17">#REF!</definedName>
    <definedName name="FATOR1" localSheetId="18">#REF!</definedName>
    <definedName name="FATOR1" localSheetId="20">#REF!</definedName>
    <definedName name="FATOR1" localSheetId="21">#REF!</definedName>
    <definedName name="FATOR1" localSheetId="22">#REF!</definedName>
    <definedName name="FATOR1" localSheetId="7">#REF!</definedName>
    <definedName name="FATOR1" localSheetId="3">#REF!</definedName>
    <definedName name="FATOR1" localSheetId="11">#REF!</definedName>
    <definedName name="FATOR1">[9]PLANILHA!#REF!</definedName>
    <definedName name="FATOR2" localSheetId="13">#REF!</definedName>
    <definedName name="FATOR2" localSheetId="14">#REF!</definedName>
    <definedName name="FATOR2" localSheetId="15">#REF!</definedName>
    <definedName name="FATOR2" localSheetId="16">#REF!</definedName>
    <definedName name="FATOR2" localSheetId="17">#REF!</definedName>
    <definedName name="FATOR2" localSheetId="18">#REF!</definedName>
    <definedName name="FATOR2" localSheetId="20">#REF!</definedName>
    <definedName name="FATOR2" localSheetId="21">#REF!</definedName>
    <definedName name="FATOR2" localSheetId="22">#REF!</definedName>
    <definedName name="FATOR2" localSheetId="7">#REF!</definedName>
    <definedName name="FATOR2" localSheetId="3">#REF!</definedName>
    <definedName name="FATOR2" localSheetId="11">#REF!</definedName>
    <definedName name="FATOR2">[9]PLANILHA!#REF!</definedName>
    <definedName name="FATOR3" localSheetId="13">#REF!</definedName>
    <definedName name="FATOR3" localSheetId="14">#REF!</definedName>
    <definedName name="FATOR3" localSheetId="15">#REF!</definedName>
    <definedName name="FATOR3" localSheetId="16">#REF!</definedName>
    <definedName name="FATOR3" localSheetId="17">#REF!</definedName>
    <definedName name="FATOR3" localSheetId="18">#REF!</definedName>
    <definedName name="FATOR3" localSheetId="20">#REF!</definedName>
    <definedName name="FATOR3" localSheetId="21">#REF!</definedName>
    <definedName name="FATOR3" localSheetId="22">#REF!</definedName>
    <definedName name="FATOR3" localSheetId="7">#REF!</definedName>
    <definedName name="FATOR3" localSheetId="3">#REF!</definedName>
    <definedName name="FATOR3" localSheetId="11">#REF!</definedName>
    <definedName name="FATOR3">[9]PLANILHA!#REF!</definedName>
    <definedName name="FATOR4" localSheetId="13">#REF!</definedName>
    <definedName name="FATOR4" localSheetId="14">#REF!</definedName>
    <definedName name="FATOR4" localSheetId="15">#REF!</definedName>
    <definedName name="FATOR4" localSheetId="16">#REF!</definedName>
    <definedName name="FATOR4" localSheetId="17">#REF!</definedName>
    <definedName name="FATOR4" localSheetId="18">#REF!</definedName>
    <definedName name="FATOR4" localSheetId="20">#REF!</definedName>
    <definedName name="FATOR4" localSheetId="21">#REF!</definedName>
    <definedName name="FATOR4" localSheetId="22">#REF!</definedName>
    <definedName name="FATOR4" localSheetId="7">#REF!</definedName>
    <definedName name="FATOR4" localSheetId="3">#REF!</definedName>
    <definedName name="FATOR4" localSheetId="11">#REF!</definedName>
    <definedName name="FATOR4">[9]PLANILHA!#REF!</definedName>
    <definedName name="FATOR5">#REF!</definedName>
    <definedName name="FatSabadoOut">'[10]TrafContExpan-NoPrint'!$O$5</definedName>
    <definedName name="FatSextaOut">'[10]TrafContExpan-NoPrint'!$O$4</definedName>
    <definedName name="Fd" localSheetId="13">#REF!</definedName>
    <definedName name="Fd" localSheetId="14">#REF!</definedName>
    <definedName name="Fd" localSheetId="15">#REF!</definedName>
    <definedName name="Fd" localSheetId="16">#REF!</definedName>
    <definedName name="Fd" localSheetId="17">#REF!</definedName>
    <definedName name="Fd" localSheetId="18">#REF!</definedName>
    <definedName name="Fd" localSheetId="20">#REF!</definedName>
    <definedName name="Fd" localSheetId="21">#REF!</definedName>
    <definedName name="Fd" localSheetId="3">#REF!</definedName>
    <definedName name="Fd" localSheetId="11">#REF!</definedName>
    <definedName name="Fd">#REF!</definedName>
    <definedName name="fe" localSheetId="13">Plan1</definedName>
    <definedName name="fe" localSheetId="14">Plan1</definedName>
    <definedName name="fe" localSheetId="15">Plan1</definedName>
    <definedName name="fe" localSheetId="16">Plan1</definedName>
    <definedName name="fe" localSheetId="17">Plan1</definedName>
    <definedName name="fe" localSheetId="18">Plan1</definedName>
    <definedName name="fe" localSheetId="20">Plan1</definedName>
    <definedName name="fe" localSheetId="21">Plan1</definedName>
    <definedName name="fe" localSheetId="22">Plan1</definedName>
    <definedName name="fe" localSheetId="7">Plan1</definedName>
    <definedName name="fe" localSheetId="3">Plan1</definedName>
    <definedName name="fe" localSheetId="11">Plan1</definedName>
    <definedName name="fe">Plan1</definedName>
    <definedName name="fer">#REF!</definedName>
    <definedName name="FF" localSheetId="13">#REF!</definedName>
    <definedName name="FF" localSheetId="14">#REF!</definedName>
    <definedName name="FF" localSheetId="15">#REF!</definedName>
    <definedName name="FF" localSheetId="16">#REF!</definedName>
    <definedName name="FF" localSheetId="17">#REF!</definedName>
    <definedName name="FF" localSheetId="18">#REF!</definedName>
    <definedName name="FF" localSheetId="20">#REF!</definedName>
    <definedName name="FF" localSheetId="21">#REF!</definedName>
    <definedName name="FF" localSheetId="7">#REF!</definedName>
    <definedName name="FF" localSheetId="3">#REF!</definedName>
    <definedName name="FF" localSheetId="11">#REF!</definedName>
    <definedName name="FF">#REF!</definedName>
    <definedName name="FFF" hidden="1">#REF!</definedName>
    <definedName name="FFFFFFFFFF" hidden="1">#REF!</definedName>
    <definedName name="FOOR" localSheetId="22" hidden="1">{#N/A,#N/A,FALSE,"Plan1"}</definedName>
    <definedName name="FOOR" localSheetId="7" hidden="1">{#N/A,#N/A,FALSE,"Plan1"}</definedName>
    <definedName name="FOOR" hidden="1">{#N/A,#N/A,FALSE,"Plan1"}</definedName>
    <definedName name="Formula" localSheetId="13">#REF!</definedName>
    <definedName name="Formula" localSheetId="14">#REF!</definedName>
    <definedName name="Formula" localSheetId="15">#REF!</definedName>
    <definedName name="Formula" localSheetId="16">#REF!</definedName>
    <definedName name="Formula" localSheetId="17">#REF!</definedName>
    <definedName name="Formula" localSheetId="18">#REF!</definedName>
    <definedName name="Formula" localSheetId="20">#REF!</definedName>
    <definedName name="Formula" localSheetId="21">#REF!</definedName>
    <definedName name="Formula" localSheetId="7">#REF!</definedName>
    <definedName name="Formula" localSheetId="3">#REF!</definedName>
    <definedName name="Formula" localSheetId="11">#REF!</definedName>
    <definedName name="Formula">#REF!</definedName>
    <definedName name="Formula_1" localSheetId="13">#REF!</definedName>
    <definedName name="Formula_1" localSheetId="14">#REF!</definedName>
    <definedName name="Formula_1" localSheetId="15">#REF!</definedName>
    <definedName name="Formula_1" localSheetId="16">#REF!</definedName>
    <definedName name="Formula_1" localSheetId="17">#REF!</definedName>
    <definedName name="Formula_1" localSheetId="18">#REF!</definedName>
    <definedName name="Formula_1" localSheetId="20">#REF!</definedName>
    <definedName name="Formula_1" localSheetId="21">#REF!</definedName>
    <definedName name="Formula_1" localSheetId="3">#REF!</definedName>
    <definedName name="Formula_1" localSheetId="11">#REF!</definedName>
    <definedName name="Formula_1">#REF!</definedName>
    <definedName name="Formula_10" localSheetId="13">#REF!</definedName>
    <definedName name="Formula_10" localSheetId="14">#REF!</definedName>
    <definedName name="Formula_10" localSheetId="15">#REF!</definedName>
    <definedName name="Formula_10" localSheetId="16">#REF!</definedName>
    <definedName name="Formula_10" localSheetId="17">#REF!</definedName>
    <definedName name="Formula_10" localSheetId="18">#REF!</definedName>
    <definedName name="Formula_10" localSheetId="20">#REF!</definedName>
    <definedName name="Formula_10" localSheetId="21">#REF!</definedName>
    <definedName name="Formula_10" localSheetId="3">#REF!</definedName>
    <definedName name="Formula_10" localSheetId="11">#REF!</definedName>
    <definedName name="Formula_10">#REF!</definedName>
    <definedName name="Formula_2" localSheetId="13">#REF!</definedName>
    <definedName name="Formula_2" localSheetId="14">#REF!</definedName>
    <definedName name="Formula_2" localSheetId="15">#REF!</definedName>
    <definedName name="Formula_2" localSheetId="16">#REF!</definedName>
    <definedName name="Formula_2" localSheetId="17">#REF!</definedName>
    <definedName name="Formula_2" localSheetId="18">#REF!</definedName>
    <definedName name="Formula_2" localSheetId="20">#REF!</definedName>
    <definedName name="Formula_2" localSheetId="21">#REF!</definedName>
    <definedName name="Formula_2" localSheetId="3">#REF!</definedName>
    <definedName name="Formula_2" localSheetId="11">#REF!</definedName>
    <definedName name="Formula_2">#REF!</definedName>
    <definedName name="Formula_3" localSheetId="13">#REF!</definedName>
    <definedName name="Formula_3" localSheetId="14">#REF!</definedName>
    <definedName name="Formula_3" localSheetId="15">#REF!</definedName>
    <definedName name="Formula_3" localSheetId="16">#REF!</definedName>
    <definedName name="Formula_3" localSheetId="17">#REF!</definedName>
    <definedName name="Formula_3" localSheetId="18">#REF!</definedName>
    <definedName name="Formula_3" localSheetId="20">#REF!</definedName>
    <definedName name="Formula_3" localSheetId="21">#REF!</definedName>
    <definedName name="Formula_3" localSheetId="3">#REF!</definedName>
    <definedName name="Formula_3" localSheetId="11">#REF!</definedName>
    <definedName name="Formula_3">#REF!</definedName>
    <definedName name="Formula_4" localSheetId="13">#REF!</definedName>
    <definedName name="Formula_4" localSheetId="14">#REF!</definedName>
    <definedName name="Formula_4" localSheetId="15">#REF!</definedName>
    <definedName name="Formula_4" localSheetId="16">#REF!</definedName>
    <definedName name="Formula_4" localSheetId="17">#REF!</definedName>
    <definedName name="Formula_4" localSheetId="18">#REF!</definedName>
    <definedName name="Formula_4" localSheetId="20">#REF!</definedName>
    <definedName name="Formula_4" localSheetId="21">#REF!</definedName>
    <definedName name="Formula_4" localSheetId="3">#REF!</definedName>
    <definedName name="Formula_4" localSheetId="11">#REF!</definedName>
    <definedName name="Formula_4">#REF!</definedName>
    <definedName name="Formula_5" localSheetId="13">#REF!</definedName>
    <definedName name="Formula_5" localSheetId="14">#REF!</definedName>
    <definedName name="Formula_5" localSheetId="15">#REF!</definedName>
    <definedName name="Formula_5" localSheetId="16">#REF!</definedName>
    <definedName name="Formula_5" localSheetId="17">#REF!</definedName>
    <definedName name="Formula_5" localSheetId="18">#REF!</definedName>
    <definedName name="Formula_5" localSheetId="20">#REF!</definedName>
    <definedName name="Formula_5" localSheetId="21">#REF!</definedName>
    <definedName name="Formula_5" localSheetId="3">#REF!</definedName>
    <definedName name="Formula_5" localSheetId="11">#REF!</definedName>
    <definedName name="Formula_5">#REF!</definedName>
    <definedName name="Formula_5_1" localSheetId="13">#REF!</definedName>
    <definedName name="Formula_5_1" localSheetId="14">#REF!</definedName>
    <definedName name="Formula_5_1" localSheetId="15">#REF!</definedName>
    <definedName name="Formula_5_1" localSheetId="16">#REF!</definedName>
    <definedName name="Formula_5_1" localSheetId="17">#REF!</definedName>
    <definedName name="Formula_5_1" localSheetId="18">#REF!</definedName>
    <definedName name="Formula_5_1" localSheetId="20">#REF!</definedName>
    <definedName name="Formula_5_1" localSheetId="21">#REF!</definedName>
    <definedName name="Formula_5_1" localSheetId="3">#REF!</definedName>
    <definedName name="Formula_5_1" localSheetId="11">#REF!</definedName>
    <definedName name="Formula_5_1">#REF!</definedName>
    <definedName name="Formula_6" localSheetId="13">#REF!</definedName>
    <definedName name="Formula_6" localSheetId="14">#REF!</definedName>
    <definedName name="Formula_6" localSheetId="15">#REF!</definedName>
    <definedName name="Formula_6" localSheetId="16">#REF!</definedName>
    <definedName name="Formula_6" localSheetId="17">#REF!</definedName>
    <definedName name="Formula_6" localSheetId="18">#REF!</definedName>
    <definedName name="Formula_6" localSheetId="20">#REF!</definedName>
    <definedName name="Formula_6" localSheetId="21">#REF!</definedName>
    <definedName name="Formula_6" localSheetId="3">#REF!</definedName>
    <definedName name="Formula_6" localSheetId="11">#REF!</definedName>
    <definedName name="Formula_6">#REF!</definedName>
    <definedName name="FORMULÁRIO" localSheetId="22" hidden="1">{#N/A,#N/A,FALSE,"Plan1"}</definedName>
    <definedName name="FORMULÁRIO" localSheetId="7" hidden="1">{#N/A,#N/A,FALSE,"Plan1"}</definedName>
    <definedName name="FORMULÁRIO" hidden="1">{#N/A,#N/A,FALSE,"Plan1"}</definedName>
    <definedName name="FORRO" localSheetId="22" hidden="1">{#N/A,#N/A,FALSE,"Plan1"}</definedName>
    <definedName name="FORRO" localSheetId="7" hidden="1">{#N/A,#N/A,FALSE,"Plan1"}</definedName>
    <definedName name="FORRO" hidden="1">{#N/A,#N/A,FALSE,"Plan1"}</definedName>
    <definedName name="Frete" localSheetId="13">#REF!</definedName>
    <definedName name="Frete" localSheetId="14">#REF!</definedName>
    <definedName name="Frete" localSheetId="15">#REF!</definedName>
    <definedName name="Frete" localSheetId="16">#REF!</definedName>
    <definedName name="Frete" localSheetId="17">#REF!</definedName>
    <definedName name="Frete" localSheetId="18">#REF!</definedName>
    <definedName name="Frete" localSheetId="20">#REF!</definedName>
    <definedName name="Frete" localSheetId="21">#REF!</definedName>
    <definedName name="Frete" localSheetId="7">#REF!</definedName>
    <definedName name="Frete" localSheetId="3">#REF!</definedName>
    <definedName name="Frete" localSheetId="11">#REF!</definedName>
    <definedName name="Frete">#REF!</definedName>
    <definedName name="FRR" localSheetId="22" hidden="1">{#N/A,#N/A,FALSE,"Plan1"}</definedName>
    <definedName name="FRR" localSheetId="7" hidden="1">{#N/A,#N/A,FALSE,"Plan1"}</definedName>
    <definedName name="FRR" hidden="1">{#N/A,#N/A,FALSE,"Plan1"}</definedName>
    <definedName name="FS" localSheetId="13">#REF!</definedName>
    <definedName name="FS" localSheetId="14">#REF!</definedName>
    <definedName name="FS" localSheetId="15">#REF!</definedName>
    <definedName name="FS" localSheetId="16">#REF!</definedName>
    <definedName name="FS" localSheetId="17">#REF!</definedName>
    <definedName name="FS" localSheetId="18">#REF!</definedName>
    <definedName name="FS" localSheetId="20">#REF!</definedName>
    <definedName name="FS" localSheetId="21">#REF!</definedName>
    <definedName name="FS" localSheetId="7">#REF!</definedName>
    <definedName name="FS" localSheetId="3">#REF!</definedName>
    <definedName name="FS" localSheetId="11">#REF!</definedName>
    <definedName name="FS">#REF!</definedName>
    <definedName name="fuel" localSheetId="13">#REF!</definedName>
    <definedName name="fuel" localSheetId="14">#REF!</definedName>
    <definedName name="fuel" localSheetId="15">#REF!</definedName>
    <definedName name="fuel" localSheetId="16">#REF!</definedName>
    <definedName name="fuel" localSheetId="17">#REF!</definedName>
    <definedName name="fuel" localSheetId="18">#REF!</definedName>
    <definedName name="fuel" localSheetId="20">#REF!</definedName>
    <definedName name="fuel" localSheetId="21">#REF!</definedName>
    <definedName name="fuel" localSheetId="7">#REF!</definedName>
    <definedName name="fuel" localSheetId="3">#REF!</definedName>
    <definedName name="fuel" localSheetId="11">#REF!</definedName>
    <definedName name="fuel">#REF!</definedName>
    <definedName name="FUNDAÇÃO">#REF!</definedName>
    <definedName name="FUNDAÇÃO2">#REF!</definedName>
    <definedName name="FUNDAÇÃOREL">#REF!</definedName>
    <definedName name="G_01_1" localSheetId="13">#REF!</definedName>
    <definedName name="G_01_1" localSheetId="14">#REF!</definedName>
    <definedName name="G_01_1" localSheetId="15">#REF!</definedName>
    <definedName name="G_01_1" localSheetId="16">#REF!</definedName>
    <definedName name="G_01_1" localSheetId="17">#REF!</definedName>
    <definedName name="G_01_1" localSheetId="18">#REF!</definedName>
    <definedName name="G_01_1" localSheetId="20">#REF!</definedName>
    <definedName name="G_01_1" localSheetId="21">#REF!</definedName>
    <definedName name="G_01_1" localSheetId="7">#REF!</definedName>
    <definedName name="G_01_1" localSheetId="3">#REF!</definedName>
    <definedName name="G_01_1" localSheetId="11">#REF!</definedName>
    <definedName name="G_01_1">[5]RESUMO!#REF!</definedName>
    <definedName name="G_02_1" localSheetId="13">#REF!</definedName>
    <definedName name="G_02_1" localSheetId="14">#REF!</definedName>
    <definedName name="G_02_1" localSheetId="15">#REF!</definedName>
    <definedName name="G_02_1" localSheetId="16">#REF!</definedName>
    <definedName name="G_02_1" localSheetId="17">#REF!</definedName>
    <definedName name="G_02_1" localSheetId="18">#REF!</definedName>
    <definedName name="G_02_1" localSheetId="20">#REF!</definedName>
    <definedName name="G_02_1" localSheetId="21">#REF!</definedName>
    <definedName name="G_02_1" localSheetId="7">#REF!</definedName>
    <definedName name="G_02_1" localSheetId="3">#REF!</definedName>
    <definedName name="G_02_1" localSheetId="11">#REF!</definedName>
    <definedName name="G_02_1">[5]RESUMO!#REF!</definedName>
    <definedName name="G_03_1" localSheetId="13">#REF!</definedName>
    <definedName name="G_03_1" localSheetId="14">#REF!</definedName>
    <definedName name="G_03_1" localSheetId="15">#REF!</definedName>
    <definedName name="G_03_1" localSheetId="16">#REF!</definedName>
    <definedName name="G_03_1" localSheetId="17">#REF!</definedName>
    <definedName name="G_03_1" localSheetId="18">#REF!</definedName>
    <definedName name="G_03_1" localSheetId="20">#REF!</definedName>
    <definedName name="G_03_1" localSheetId="21">#REF!</definedName>
    <definedName name="G_03_1" localSheetId="7">#REF!</definedName>
    <definedName name="G_03_1" localSheetId="3">#REF!</definedName>
    <definedName name="G_03_1" localSheetId="11">#REF!</definedName>
    <definedName name="G_03_1">[5]RESUMO!#REF!</definedName>
    <definedName name="G_04_1" localSheetId="13">#REF!</definedName>
    <definedName name="G_04_1" localSheetId="14">#REF!</definedName>
    <definedName name="G_04_1" localSheetId="15">#REF!</definedName>
    <definedName name="G_04_1" localSheetId="16">#REF!</definedName>
    <definedName name="G_04_1" localSheetId="17">#REF!</definedName>
    <definedName name="G_04_1" localSheetId="18">#REF!</definedName>
    <definedName name="G_04_1" localSheetId="20">#REF!</definedName>
    <definedName name="G_04_1" localSheetId="21">#REF!</definedName>
    <definedName name="G_04_1" localSheetId="7">#REF!</definedName>
    <definedName name="G_04_1" localSheetId="3">#REF!</definedName>
    <definedName name="G_04_1" localSheetId="11">#REF!</definedName>
    <definedName name="G_04_1">[5]RESUMO!#REF!</definedName>
    <definedName name="G_05_1" localSheetId="13">#REF!</definedName>
    <definedName name="G_05_1" localSheetId="14">#REF!</definedName>
    <definedName name="G_05_1" localSheetId="15">#REF!</definedName>
    <definedName name="G_05_1" localSheetId="16">#REF!</definedName>
    <definedName name="G_05_1" localSheetId="17">#REF!</definedName>
    <definedName name="G_05_1" localSheetId="18">#REF!</definedName>
    <definedName name="G_05_1" localSheetId="20">#REF!</definedName>
    <definedName name="G_05_1" localSheetId="21">#REF!</definedName>
    <definedName name="G_05_1" localSheetId="7">#REF!</definedName>
    <definedName name="G_05_1" localSheetId="3">#REF!</definedName>
    <definedName name="G_05_1" localSheetId="11">#REF!</definedName>
    <definedName name="G_05_1">[5]RESUMO!#REF!</definedName>
    <definedName name="G_06_1" localSheetId="13">#REF!</definedName>
    <definedName name="G_06_1" localSheetId="14">#REF!</definedName>
    <definedName name="G_06_1" localSheetId="15">#REF!</definedName>
    <definedName name="G_06_1" localSheetId="16">#REF!</definedName>
    <definedName name="G_06_1" localSheetId="17">#REF!</definedName>
    <definedName name="G_06_1" localSheetId="18">#REF!</definedName>
    <definedName name="G_06_1" localSheetId="20">#REF!</definedName>
    <definedName name="G_06_1" localSheetId="21">#REF!</definedName>
    <definedName name="G_06_1" localSheetId="7">#REF!</definedName>
    <definedName name="G_06_1" localSheetId="3">#REF!</definedName>
    <definedName name="G_06_1" localSheetId="11">#REF!</definedName>
    <definedName name="G_06_1">[5]RESUMO!#REF!</definedName>
    <definedName name="G_07_1" localSheetId="13">#REF!</definedName>
    <definedName name="G_07_1" localSheetId="14">#REF!</definedName>
    <definedName name="G_07_1" localSheetId="15">#REF!</definedName>
    <definedName name="G_07_1" localSheetId="16">#REF!</definedName>
    <definedName name="G_07_1" localSheetId="17">#REF!</definedName>
    <definedName name="G_07_1" localSheetId="18">#REF!</definedName>
    <definedName name="G_07_1" localSheetId="20">#REF!</definedName>
    <definedName name="G_07_1" localSheetId="21">#REF!</definedName>
    <definedName name="G_07_1" localSheetId="7">#REF!</definedName>
    <definedName name="G_07_1" localSheetId="3">#REF!</definedName>
    <definedName name="G_07_1" localSheetId="11">#REF!</definedName>
    <definedName name="G_07_1">[5]RESUMO!#REF!</definedName>
    <definedName name="G_08_1" localSheetId="13">#REF!</definedName>
    <definedName name="G_08_1" localSheetId="14">#REF!</definedName>
    <definedName name="G_08_1" localSheetId="15">#REF!</definedName>
    <definedName name="G_08_1" localSheetId="16">#REF!</definedName>
    <definedName name="G_08_1" localSheetId="17">#REF!</definedName>
    <definedName name="G_08_1" localSheetId="18">#REF!</definedName>
    <definedName name="G_08_1" localSheetId="20">#REF!</definedName>
    <definedName name="G_08_1" localSheetId="21">#REF!</definedName>
    <definedName name="G_08_1" localSheetId="7">#REF!</definedName>
    <definedName name="G_08_1" localSheetId="3">#REF!</definedName>
    <definedName name="G_08_1" localSheetId="11">#REF!</definedName>
    <definedName name="G_08_1">[5]RESUMO!#REF!</definedName>
    <definedName name="G_09_1" localSheetId="13">#REF!</definedName>
    <definedName name="G_09_1" localSheetId="14">#REF!</definedName>
    <definedName name="G_09_1" localSheetId="15">#REF!</definedName>
    <definedName name="G_09_1" localSheetId="16">#REF!</definedName>
    <definedName name="G_09_1" localSheetId="17">#REF!</definedName>
    <definedName name="G_09_1" localSheetId="18">#REF!</definedName>
    <definedName name="G_09_1" localSheetId="20">#REF!</definedName>
    <definedName name="G_09_1" localSheetId="21">#REF!</definedName>
    <definedName name="G_09_1" localSheetId="7">#REF!</definedName>
    <definedName name="G_09_1" localSheetId="3">#REF!</definedName>
    <definedName name="G_09_1" localSheetId="11">#REF!</definedName>
    <definedName name="G_09_1">[5]RESUMO!#REF!</definedName>
    <definedName name="G_10_1" localSheetId="13">#REF!</definedName>
    <definedName name="G_10_1" localSheetId="14">#REF!</definedName>
    <definedName name="G_10_1" localSheetId="15">#REF!</definedName>
    <definedName name="G_10_1" localSheetId="16">#REF!</definedName>
    <definedName name="G_10_1" localSheetId="17">#REF!</definedName>
    <definedName name="G_10_1" localSheetId="18">#REF!</definedName>
    <definedName name="G_10_1" localSheetId="20">#REF!</definedName>
    <definedName name="G_10_1" localSheetId="21">#REF!</definedName>
    <definedName name="G_10_1" localSheetId="7">#REF!</definedName>
    <definedName name="G_10_1" localSheetId="3">#REF!</definedName>
    <definedName name="G_10_1" localSheetId="11">#REF!</definedName>
    <definedName name="G_10_1">[5]RESUMO!#REF!</definedName>
    <definedName name="G_11_1" localSheetId="13">#REF!</definedName>
    <definedName name="G_11_1" localSheetId="14">#REF!</definedName>
    <definedName name="G_11_1" localSheetId="15">#REF!</definedName>
    <definedName name="G_11_1" localSheetId="16">#REF!</definedName>
    <definedName name="G_11_1" localSheetId="17">#REF!</definedName>
    <definedName name="G_11_1" localSheetId="18">#REF!</definedName>
    <definedName name="G_11_1" localSheetId="20">#REF!</definedName>
    <definedName name="G_11_1" localSheetId="21">#REF!</definedName>
    <definedName name="G_11_1" localSheetId="7">#REF!</definedName>
    <definedName name="G_11_1" localSheetId="3">#REF!</definedName>
    <definedName name="G_11_1" localSheetId="11">#REF!</definedName>
    <definedName name="G_11_1">[5]RESUMO!#REF!</definedName>
    <definedName name="G_12_1" localSheetId="13">#REF!</definedName>
    <definedName name="G_12_1" localSheetId="14">#REF!</definedName>
    <definedName name="G_12_1" localSheetId="15">#REF!</definedName>
    <definedName name="G_12_1" localSheetId="16">#REF!</definedName>
    <definedName name="G_12_1" localSheetId="17">#REF!</definedName>
    <definedName name="G_12_1" localSheetId="18">#REF!</definedName>
    <definedName name="G_12_1" localSheetId="20">#REF!</definedName>
    <definedName name="G_12_1" localSheetId="21">#REF!</definedName>
    <definedName name="G_12_1" localSheetId="7">#REF!</definedName>
    <definedName name="G_12_1" localSheetId="3">#REF!</definedName>
    <definedName name="G_12_1" localSheetId="11">#REF!</definedName>
    <definedName name="G_12_1">[5]RESUMO!#REF!</definedName>
    <definedName name="G_13_1" localSheetId="13">#REF!</definedName>
    <definedName name="G_13_1" localSheetId="14">#REF!</definedName>
    <definedName name="G_13_1" localSheetId="15">#REF!</definedName>
    <definedName name="G_13_1" localSheetId="16">#REF!</definedName>
    <definedName name="G_13_1" localSheetId="17">#REF!</definedName>
    <definedName name="G_13_1" localSheetId="18">#REF!</definedName>
    <definedName name="G_13_1" localSheetId="20">#REF!</definedName>
    <definedName name="G_13_1" localSheetId="21">#REF!</definedName>
    <definedName name="G_13_1" localSheetId="7">#REF!</definedName>
    <definedName name="G_13_1" localSheetId="3">#REF!</definedName>
    <definedName name="G_13_1" localSheetId="11">#REF!</definedName>
    <definedName name="G_13_1">[5]RESUMO!#REF!</definedName>
    <definedName name="G_14_1" localSheetId="13">#REF!</definedName>
    <definedName name="G_14_1" localSheetId="14">#REF!</definedName>
    <definedName name="G_14_1" localSheetId="15">#REF!</definedName>
    <definedName name="G_14_1" localSheetId="16">#REF!</definedName>
    <definedName name="G_14_1" localSheetId="17">#REF!</definedName>
    <definedName name="G_14_1" localSheetId="18">#REF!</definedName>
    <definedName name="G_14_1" localSheetId="20">#REF!</definedName>
    <definedName name="G_14_1" localSheetId="21">#REF!</definedName>
    <definedName name="G_14_1" localSheetId="7">#REF!</definedName>
    <definedName name="G_14_1" localSheetId="3">#REF!</definedName>
    <definedName name="G_14_1" localSheetId="11">#REF!</definedName>
    <definedName name="G_14_1">[5]RESUMO!#REF!</definedName>
    <definedName name="G_15_1" localSheetId="13">#REF!</definedName>
    <definedName name="G_15_1" localSheetId="14">#REF!</definedName>
    <definedName name="G_15_1" localSheetId="15">#REF!</definedName>
    <definedName name="G_15_1" localSheetId="16">#REF!</definedName>
    <definedName name="G_15_1" localSheetId="17">#REF!</definedName>
    <definedName name="G_15_1" localSheetId="18">#REF!</definedName>
    <definedName name="G_15_1" localSheetId="20">#REF!</definedName>
    <definedName name="G_15_1" localSheetId="21">#REF!</definedName>
    <definedName name="G_15_1" localSheetId="7">#REF!</definedName>
    <definedName name="G_15_1" localSheetId="3">#REF!</definedName>
    <definedName name="G_15_1" localSheetId="11">#REF!</definedName>
    <definedName name="G_15_1">[5]RESUMO!#REF!</definedName>
    <definedName name="G_16_1" localSheetId="13">#REF!</definedName>
    <definedName name="G_16_1" localSheetId="14">#REF!</definedName>
    <definedName name="G_16_1" localSheetId="15">#REF!</definedName>
    <definedName name="G_16_1" localSheetId="16">#REF!</definedName>
    <definedName name="G_16_1" localSheetId="17">#REF!</definedName>
    <definedName name="G_16_1" localSheetId="18">#REF!</definedName>
    <definedName name="G_16_1" localSheetId="20">#REF!</definedName>
    <definedName name="G_16_1" localSheetId="21">#REF!</definedName>
    <definedName name="G_16_1" localSheetId="7">#REF!</definedName>
    <definedName name="G_16_1" localSheetId="3">#REF!</definedName>
    <definedName name="G_16_1" localSheetId="11">#REF!</definedName>
    <definedName name="G_16_1">[5]RESUMO!#REF!</definedName>
    <definedName name="G_17_1" localSheetId="13">#REF!</definedName>
    <definedName name="G_17_1" localSheetId="14">#REF!</definedName>
    <definedName name="G_17_1" localSheetId="15">#REF!</definedName>
    <definedName name="G_17_1" localSheetId="16">#REF!</definedName>
    <definedName name="G_17_1" localSheetId="17">#REF!</definedName>
    <definedName name="G_17_1" localSheetId="18">#REF!</definedName>
    <definedName name="G_17_1" localSheetId="20">#REF!</definedName>
    <definedName name="G_17_1" localSheetId="21">#REF!</definedName>
    <definedName name="G_17_1" localSheetId="7">#REF!</definedName>
    <definedName name="G_17_1" localSheetId="3">#REF!</definedName>
    <definedName name="G_17_1" localSheetId="11">#REF!</definedName>
    <definedName name="G_17_1">[5]RESUMO!#REF!</definedName>
    <definedName name="G_18_1" localSheetId="13">#REF!</definedName>
    <definedName name="G_18_1" localSheetId="14">#REF!</definedName>
    <definedName name="G_18_1" localSheetId="15">#REF!</definedName>
    <definedName name="G_18_1" localSheetId="16">#REF!</definedName>
    <definedName name="G_18_1" localSheetId="17">#REF!</definedName>
    <definedName name="G_18_1" localSheetId="18">#REF!</definedName>
    <definedName name="G_18_1" localSheetId="20">#REF!</definedName>
    <definedName name="G_18_1" localSheetId="21">#REF!</definedName>
    <definedName name="G_18_1" localSheetId="7">#REF!</definedName>
    <definedName name="G_18_1" localSheetId="3">#REF!</definedName>
    <definedName name="G_18_1" localSheetId="11">#REF!</definedName>
    <definedName name="G_18_1">[5]RESUMO!#REF!</definedName>
    <definedName name="G_19_1" localSheetId="13">#REF!</definedName>
    <definedName name="G_19_1" localSheetId="14">#REF!</definedName>
    <definedName name="G_19_1" localSheetId="15">#REF!</definedName>
    <definedName name="G_19_1" localSheetId="16">#REF!</definedName>
    <definedName name="G_19_1" localSheetId="17">#REF!</definedName>
    <definedName name="G_19_1" localSheetId="18">#REF!</definedName>
    <definedName name="G_19_1" localSheetId="20">#REF!</definedName>
    <definedName name="G_19_1" localSheetId="21">#REF!</definedName>
    <definedName name="G_19_1" localSheetId="7">#REF!</definedName>
    <definedName name="G_19_1" localSheetId="3">#REF!</definedName>
    <definedName name="G_19_1" localSheetId="11">#REF!</definedName>
    <definedName name="G_19_1">[5]RESUMO!#REF!</definedName>
    <definedName name="G_20_1" localSheetId="13">#REF!</definedName>
    <definedName name="G_20_1" localSheetId="14">#REF!</definedName>
    <definedName name="G_20_1" localSheetId="15">#REF!</definedName>
    <definedName name="G_20_1" localSheetId="16">#REF!</definedName>
    <definedName name="G_20_1" localSheetId="17">#REF!</definedName>
    <definedName name="G_20_1" localSheetId="18">#REF!</definedName>
    <definedName name="G_20_1" localSheetId="20">#REF!</definedName>
    <definedName name="G_20_1" localSheetId="21">#REF!</definedName>
    <definedName name="G_20_1" localSheetId="7">#REF!</definedName>
    <definedName name="G_20_1" localSheetId="3">#REF!</definedName>
    <definedName name="G_20_1" localSheetId="11">#REF!</definedName>
    <definedName name="G_20_1">[5]RESUMO!#REF!</definedName>
    <definedName name="GABARITO">#REF!</definedName>
    <definedName name="gas" localSheetId="13">#REF!</definedName>
    <definedName name="gas" localSheetId="14">#REF!</definedName>
    <definedName name="gas" localSheetId="15">#REF!</definedName>
    <definedName name="gas" localSheetId="16">#REF!</definedName>
    <definedName name="gas" localSheetId="17">#REF!</definedName>
    <definedName name="gas" localSheetId="18">#REF!</definedName>
    <definedName name="gas" localSheetId="20">#REF!</definedName>
    <definedName name="gas" localSheetId="21">#REF!</definedName>
    <definedName name="gas" localSheetId="7">#REF!</definedName>
    <definedName name="gas" localSheetId="3">#REF!</definedName>
    <definedName name="gas" localSheetId="11">#REF!</definedName>
    <definedName name="gas">#REF!</definedName>
    <definedName name="gen" localSheetId="13">#REF!</definedName>
    <definedName name="gen" localSheetId="14">#REF!</definedName>
    <definedName name="gen" localSheetId="15">#REF!</definedName>
    <definedName name="gen" localSheetId="16">#REF!</definedName>
    <definedName name="gen" localSheetId="17">#REF!</definedName>
    <definedName name="gen" localSheetId="18">#REF!</definedName>
    <definedName name="gen" localSheetId="20">#REF!</definedName>
    <definedName name="gen" localSheetId="21">#REF!</definedName>
    <definedName name="gen" localSheetId="7">#REF!</definedName>
    <definedName name="gen" localSheetId="3">#REF!</definedName>
    <definedName name="gen" localSheetId="11">#REF!</definedName>
    <definedName name="gen">#REF!</definedName>
    <definedName name="GER" localSheetId="13">#REF!</definedName>
    <definedName name="GER" localSheetId="14">#REF!</definedName>
    <definedName name="GER" localSheetId="15">#REF!</definedName>
    <definedName name="GER" localSheetId="16">#REF!</definedName>
    <definedName name="GER" localSheetId="17">#REF!</definedName>
    <definedName name="GER" localSheetId="18">#REF!</definedName>
    <definedName name="GER" localSheetId="20">#REF!</definedName>
    <definedName name="GER" localSheetId="21">#REF!</definedName>
    <definedName name="GER" localSheetId="7">#REF!</definedName>
    <definedName name="GER" localSheetId="3">#REF!</definedName>
    <definedName name="GER" localSheetId="11">#REF!</definedName>
    <definedName name="GER">[2]Reforma!#REF!</definedName>
    <definedName name="GER_PROJETO">#REF!</definedName>
    <definedName name="GERAL">#REF!</definedName>
    <definedName name="gerenciamento" localSheetId="13">#REF!</definedName>
    <definedName name="gerenciamento" localSheetId="14">#REF!</definedName>
    <definedName name="gerenciamento" localSheetId="15">#REF!</definedName>
    <definedName name="gerenciamento" localSheetId="16">#REF!</definedName>
    <definedName name="gerenciamento" localSheetId="17">#REF!</definedName>
    <definedName name="gerenciamento" localSheetId="18">#REF!</definedName>
    <definedName name="gerenciamento" localSheetId="20">#REF!</definedName>
    <definedName name="gerenciamento" localSheetId="21">#REF!</definedName>
    <definedName name="gerenciamento" localSheetId="7">#REF!</definedName>
    <definedName name="gerenciamento" localSheetId="3">#REF!</definedName>
    <definedName name="gerenciamento" localSheetId="11">#REF!</definedName>
    <definedName name="gerenciamento">#REF!</definedName>
    <definedName name="GGGG" localSheetId="13">#REF!</definedName>
    <definedName name="GGGG" localSheetId="14">#REF!</definedName>
    <definedName name="GGGG" localSheetId="15">#REF!</definedName>
    <definedName name="GGGG" localSheetId="16">#REF!</definedName>
    <definedName name="GGGG" localSheetId="17">#REF!</definedName>
    <definedName name="GGGG" localSheetId="18">#REF!</definedName>
    <definedName name="GGGG" localSheetId="20">#REF!</definedName>
    <definedName name="GGGG" localSheetId="21">#REF!</definedName>
    <definedName name="GGGG" localSheetId="7">#REF!</definedName>
    <definedName name="GGGG" localSheetId="3">#REF!</definedName>
    <definedName name="GGGG" localSheetId="11">#REF!</definedName>
    <definedName name="GGGG">#REF!</definedName>
    <definedName name="gh" localSheetId="13">#REF!</definedName>
    <definedName name="gh" localSheetId="14">#REF!</definedName>
    <definedName name="gh" localSheetId="15">#REF!</definedName>
    <definedName name="gh" localSheetId="16">#REF!</definedName>
    <definedName name="gh" localSheetId="17">#REF!</definedName>
    <definedName name="gh" localSheetId="18">#REF!</definedName>
    <definedName name="gh" localSheetId="20">#REF!</definedName>
    <definedName name="gh" localSheetId="21">#REF!</definedName>
    <definedName name="gh" localSheetId="7">#REF!</definedName>
    <definedName name="gh" localSheetId="3">#REF!</definedName>
    <definedName name="gh" localSheetId="11">#REF!</definedName>
    <definedName name="gh">#REF!</definedName>
    <definedName name="GRAMA" localSheetId="22" hidden="1">{#N/A,#N/A,FALSE,"Plan1"}</definedName>
    <definedName name="GRAMA" localSheetId="7" hidden="1">{#N/A,#N/A,FALSE,"Plan1"}</definedName>
    <definedName name="GRAMA" hidden="1">{#N/A,#N/A,FALSE,"Plan1"}</definedName>
    <definedName name="Grau_de_Instrução" localSheetId="22">#REF!</definedName>
    <definedName name="Grau_de_Instrução">#REF!</definedName>
    <definedName name="Grau_de_Parentesco" localSheetId="22">#REF!</definedName>
    <definedName name="Grau_de_Parentesco">#REF!</definedName>
    <definedName name="gvggg">#REF!</definedName>
    <definedName name="hgt" localSheetId="13">Plan1</definedName>
    <definedName name="hgt" localSheetId="16">Plan1</definedName>
    <definedName name="hgt" localSheetId="20">Plan1</definedName>
    <definedName name="hgt" localSheetId="21">Plan1</definedName>
    <definedName name="hgt" localSheetId="11">Plan1</definedName>
    <definedName name="hgt">Plan1</definedName>
    <definedName name="hhhh" localSheetId="13">#REF!</definedName>
    <definedName name="hhhh" localSheetId="14">#REF!</definedName>
    <definedName name="hhhh" localSheetId="15">#REF!</definedName>
    <definedName name="hhhh" localSheetId="16">#REF!</definedName>
    <definedName name="hhhh" localSheetId="17">#REF!</definedName>
    <definedName name="hhhh" localSheetId="18">#REF!</definedName>
    <definedName name="hhhh" localSheetId="20">#REF!</definedName>
    <definedName name="hhhh" localSheetId="21">#REF!</definedName>
    <definedName name="hhhh" localSheetId="7">#REF!</definedName>
    <definedName name="hhhh" localSheetId="3">#REF!</definedName>
    <definedName name="hhhh" localSheetId="11">#REF!</definedName>
    <definedName name="hhhh">#REF!</definedName>
    <definedName name="hora" localSheetId="13">#REF!</definedName>
    <definedName name="hora" localSheetId="14">#REF!</definedName>
    <definedName name="hora" localSheetId="15">#REF!</definedName>
    <definedName name="hora" localSheetId="16">#REF!</definedName>
    <definedName name="hora" localSheetId="17">#REF!</definedName>
    <definedName name="hora" localSheetId="18">#REF!</definedName>
    <definedName name="hora" localSheetId="20">#REF!</definedName>
    <definedName name="hora" localSheetId="21">#REF!</definedName>
    <definedName name="hora" localSheetId="7">#REF!</definedName>
    <definedName name="hora" localSheetId="3">#REF!</definedName>
    <definedName name="hora" localSheetId="11">#REF!</definedName>
    <definedName name="hora">#REF!</definedName>
    <definedName name="HSJDDOW">#REF!</definedName>
    <definedName name="I" localSheetId="13" hidden="1">#REF!</definedName>
    <definedName name="I" localSheetId="14" hidden="1">#REF!</definedName>
    <definedName name="I" localSheetId="15" hidden="1">#REF!</definedName>
    <definedName name="I" localSheetId="16" hidden="1">#REF!</definedName>
    <definedName name="I" localSheetId="17" hidden="1">#REF!</definedName>
    <definedName name="I" localSheetId="18" hidden="1">#REF!</definedName>
    <definedName name="I" localSheetId="20" hidden="1">#REF!</definedName>
    <definedName name="I" localSheetId="21" hidden="1">#REF!</definedName>
    <definedName name="I" localSheetId="7" hidden="1">#REF!</definedName>
    <definedName name="I" localSheetId="3" hidden="1">#REF!</definedName>
    <definedName name="I" localSheetId="11" hidden="1">#REF!</definedName>
    <definedName name="I" hidden="1">[11]Poço!#REF!</definedName>
    <definedName name="Im" localSheetId="13">#REF!</definedName>
    <definedName name="Im" localSheetId="14">#REF!</definedName>
    <definedName name="Im" localSheetId="15">#REF!</definedName>
    <definedName name="Im" localSheetId="16">#REF!</definedName>
    <definedName name="Im" localSheetId="17">#REF!</definedName>
    <definedName name="Im" localSheetId="18">#REF!</definedName>
    <definedName name="Im" localSheetId="20">#REF!</definedName>
    <definedName name="Im" localSheetId="21">#REF!</definedName>
    <definedName name="Im" localSheetId="3">#REF!</definedName>
    <definedName name="Im" localSheetId="11">#REF!</definedName>
    <definedName name="Im">#REF!</definedName>
    <definedName name="Impostos" localSheetId="13">#REF!</definedName>
    <definedName name="Impostos" localSheetId="14">#REF!</definedName>
    <definedName name="Impostos" localSheetId="15">#REF!</definedName>
    <definedName name="Impostos" localSheetId="16">#REF!</definedName>
    <definedName name="Impostos" localSheetId="17">#REF!</definedName>
    <definedName name="Impostos" localSheetId="18">#REF!</definedName>
    <definedName name="Impostos" localSheetId="20">#REF!</definedName>
    <definedName name="Impostos" localSheetId="21">#REF!</definedName>
    <definedName name="Impostos" localSheetId="7">#REF!</definedName>
    <definedName name="Impostos" localSheetId="3">#REF!</definedName>
    <definedName name="Impostos" localSheetId="11">#REF!</definedName>
    <definedName name="Impostos">#REF!</definedName>
    <definedName name="inss">#REF!</definedName>
    <definedName name="insumos" localSheetId="13">#REF!</definedName>
    <definedName name="insumos" localSheetId="14">#REF!</definedName>
    <definedName name="insumos" localSheetId="15">#REF!</definedName>
    <definedName name="insumos" localSheetId="16">#REF!</definedName>
    <definedName name="insumos" localSheetId="17">#REF!</definedName>
    <definedName name="insumos" localSheetId="18">#REF!</definedName>
    <definedName name="insumos" localSheetId="20">#REF!</definedName>
    <definedName name="insumos" localSheetId="21">#REF!</definedName>
    <definedName name="insumos" localSheetId="7">#REF!</definedName>
    <definedName name="insumos" localSheetId="3">#REF!</definedName>
    <definedName name="insumos" localSheetId="11">#REF!</definedName>
    <definedName name="insumos">#REF!</definedName>
    <definedName name="Io" localSheetId="13">#REF!</definedName>
    <definedName name="Io" localSheetId="14">#REF!</definedName>
    <definedName name="Io" localSheetId="15">#REF!</definedName>
    <definedName name="Io" localSheetId="16">#REF!</definedName>
    <definedName name="Io" localSheetId="17">#REF!</definedName>
    <definedName name="Io" localSheetId="18">#REF!</definedName>
    <definedName name="Io" localSheetId="20">#REF!</definedName>
    <definedName name="Io" localSheetId="21">#REF!</definedName>
    <definedName name="Io" localSheetId="22">#REF!</definedName>
    <definedName name="Io" localSheetId="3">#REF!</definedName>
    <definedName name="Io" localSheetId="11">#REF!</definedName>
    <definedName name="Io">#REF!</definedName>
    <definedName name="ISS" localSheetId="13">#REF!</definedName>
    <definedName name="ISS" localSheetId="14">#REF!</definedName>
    <definedName name="ISS" localSheetId="15">#REF!</definedName>
    <definedName name="ISS" localSheetId="16">#REF!</definedName>
    <definedName name="ISS" localSheetId="17">#REF!</definedName>
    <definedName name="ISS" localSheetId="18">#REF!</definedName>
    <definedName name="ISS" localSheetId="20">#REF!</definedName>
    <definedName name="ISS" localSheetId="21">#REF!</definedName>
    <definedName name="ISS" localSheetId="3">#REF!</definedName>
    <definedName name="ISS" localSheetId="11">#REF!</definedName>
    <definedName name="ISS">#REF!</definedName>
    <definedName name="IT" localSheetId="13">#REF!</definedName>
    <definedName name="IT" localSheetId="14">#REF!</definedName>
    <definedName name="IT" localSheetId="15">#REF!</definedName>
    <definedName name="IT" localSheetId="16">#REF!</definedName>
    <definedName name="IT" localSheetId="17">#REF!</definedName>
    <definedName name="IT" localSheetId="18">#REF!</definedName>
    <definedName name="IT" localSheetId="20">#REF!</definedName>
    <definedName name="IT" localSheetId="21">#REF!</definedName>
    <definedName name="IT" localSheetId="3">#REF!</definedName>
    <definedName name="IT" localSheetId="11">#REF!</definedName>
    <definedName name="IT">#REF!</definedName>
    <definedName name="ITAPECURU">#REF!</definedName>
    <definedName name="ITEM" localSheetId="13">#REF!</definedName>
    <definedName name="ITEM" localSheetId="14">#REF!</definedName>
    <definedName name="ITEM" localSheetId="15">#REF!</definedName>
    <definedName name="ITEM" localSheetId="16">#REF!</definedName>
    <definedName name="ITEM" localSheetId="17">#REF!</definedName>
    <definedName name="ITEM" localSheetId="18">#REF!</definedName>
    <definedName name="ITEM" localSheetId="20">#REF!</definedName>
    <definedName name="ITEM" localSheetId="21">#REF!</definedName>
    <definedName name="ITEM" localSheetId="7">#REF!</definedName>
    <definedName name="ITEM" localSheetId="3">#REF!</definedName>
    <definedName name="ITEM" localSheetId="11">#REF!</definedName>
    <definedName name="ITEM">#REF!</definedName>
    <definedName name="item1.1" localSheetId="13">#REF!</definedName>
    <definedName name="item1.1" localSheetId="14">#REF!</definedName>
    <definedName name="item1.1" localSheetId="15">#REF!</definedName>
    <definedName name="item1.1" localSheetId="16">#REF!</definedName>
    <definedName name="item1.1" localSheetId="17">#REF!</definedName>
    <definedName name="item1.1" localSheetId="18">#REF!</definedName>
    <definedName name="item1.1" localSheetId="20">#REF!</definedName>
    <definedName name="item1.1" localSheetId="21">#REF!</definedName>
    <definedName name="item1.1" localSheetId="3">#REF!</definedName>
    <definedName name="item1.1" localSheetId="11">#REF!</definedName>
    <definedName name="item1.1">#REF!</definedName>
    <definedName name="item1.2" localSheetId="13">#REF!</definedName>
    <definedName name="item1.2" localSheetId="14">#REF!</definedName>
    <definedName name="item1.2" localSheetId="15">#REF!</definedName>
    <definedName name="item1.2" localSheetId="16">#REF!</definedName>
    <definedName name="item1.2" localSheetId="17">#REF!</definedName>
    <definedName name="item1.2" localSheetId="18">#REF!</definedName>
    <definedName name="item1.2" localSheetId="20">#REF!</definedName>
    <definedName name="item1.2" localSheetId="21">#REF!</definedName>
    <definedName name="item1.2" localSheetId="3">#REF!</definedName>
    <definedName name="item1.2" localSheetId="11">#REF!</definedName>
    <definedName name="item1.2">#REF!</definedName>
    <definedName name="item1.3" localSheetId="13">#REF!</definedName>
    <definedName name="item1.3" localSheetId="14">#REF!</definedName>
    <definedName name="item1.3" localSheetId="15">#REF!</definedName>
    <definedName name="item1.3" localSheetId="16">#REF!</definedName>
    <definedName name="item1.3" localSheetId="17">#REF!</definedName>
    <definedName name="item1.3" localSheetId="18">#REF!</definedName>
    <definedName name="item1.3" localSheetId="20">#REF!</definedName>
    <definedName name="item1.3" localSheetId="21">#REF!</definedName>
    <definedName name="item1.3" localSheetId="3">#REF!</definedName>
    <definedName name="item1.3" localSheetId="11">#REF!</definedName>
    <definedName name="item1.3">#REF!</definedName>
    <definedName name="item1.4" localSheetId="13">#REF!</definedName>
    <definedName name="item1.4" localSheetId="14">#REF!</definedName>
    <definedName name="item1.4" localSheetId="15">#REF!</definedName>
    <definedName name="item1.4" localSheetId="16">#REF!</definedName>
    <definedName name="item1.4" localSheetId="17">#REF!</definedName>
    <definedName name="item1.4" localSheetId="18">#REF!</definedName>
    <definedName name="item1.4" localSheetId="20">#REF!</definedName>
    <definedName name="item1.4" localSheetId="21">#REF!</definedName>
    <definedName name="item1.4" localSheetId="3">#REF!</definedName>
    <definedName name="item1.4" localSheetId="11">#REF!</definedName>
    <definedName name="item1.4">#REF!</definedName>
    <definedName name="item1.5" localSheetId="13">#REF!</definedName>
    <definedName name="item1.5" localSheetId="14">#REF!</definedName>
    <definedName name="item1.5" localSheetId="15">#REF!</definedName>
    <definedName name="item1.5" localSheetId="16">#REF!</definedName>
    <definedName name="item1.5" localSheetId="17">#REF!</definedName>
    <definedName name="item1.5" localSheetId="18">#REF!</definedName>
    <definedName name="item1.5" localSheetId="20">#REF!</definedName>
    <definedName name="item1.5" localSheetId="21">#REF!</definedName>
    <definedName name="item1.5" localSheetId="3">#REF!</definedName>
    <definedName name="item1.5" localSheetId="11">#REF!</definedName>
    <definedName name="item1.5">#REF!</definedName>
    <definedName name="item1.6" localSheetId="13">#REF!</definedName>
    <definedName name="item1.6" localSheetId="14">#REF!</definedName>
    <definedName name="item1.6" localSheetId="15">#REF!</definedName>
    <definedName name="item1.6" localSheetId="16">#REF!</definedName>
    <definedName name="item1.6" localSheetId="17">#REF!</definedName>
    <definedName name="item1.6" localSheetId="18">#REF!</definedName>
    <definedName name="item1.6" localSheetId="20">#REF!</definedName>
    <definedName name="item1.6" localSheetId="21">#REF!</definedName>
    <definedName name="item1.6" localSheetId="3">#REF!</definedName>
    <definedName name="item1.6" localSheetId="11">#REF!</definedName>
    <definedName name="item1.6">#REF!</definedName>
    <definedName name="item10.1" localSheetId="13">#REF!</definedName>
    <definedName name="item10.1" localSheetId="14">#REF!</definedName>
    <definedName name="item10.1" localSheetId="15">#REF!</definedName>
    <definedName name="item10.1" localSheetId="16">#REF!</definedName>
    <definedName name="item10.1" localSheetId="17">#REF!</definedName>
    <definedName name="item10.1" localSheetId="18">#REF!</definedName>
    <definedName name="item10.1" localSheetId="20">#REF!</definedName>
    <definedName name="item10.1" localSheetId="21">#REF!</definedName>
    <definedName name="item10.1" localSheetId="3">#REF!</definedName>
    <definedName name="item10.1" localSheetId="11">#REF!</definedName>
    <definedName name="item10.1">#REF!</definedName>
    <definedName name="item10.10" localSheetId="13">#REF!</definedName>
    <definedName name="item10.10" localSheetId="14">#REF!</definedName>
    <definedName name="item10.10" localSheetId="15">#REF!</definedName>
    <definedName name="item10.10" localSheetId="16">#REF!</definedName>
    <definedName name="item10.10" localSheetId="17">#REF!</definedName>
    <definedName name="item10.10" localSheetId="18">#REF!</definedName>
    <definedName name="item10.10" localSheetId="20">#REF!</definedName>
    <definedName name="item10.10" localSheetId="21">#REF!</definedName>
    <definedName name="item10.10" localSheetId="3">#REF!</definedName>
    <definedName name="item10.10" localSheetId="11">#REF!</definedName>
    <definedName name="item10.10">#REF!</definedName>
    <definedName name="item10.11" localSheetId="13">#REF!</definedName>
    <definedName name="item10.11" localSheetId="14">#REF!</definedName>
    <definedName name="item10.11" localSheetId="15">#REF!</definedName>
    <definedName name="item10.11" localSheetId="16">#REF!</definedName>
    <definedName name="item10.11" localSheetId="17">#REF!</definedName>
    <definedName name="item10.11" localSheetId="18">#REF!</definedName>
    <definedName name="item10.11" localSheetId="20">#REF!</definedName>
    <definedName name="item10.11" localSheetId="21">#REF!</definedName>
    <definedName name="item10.11" localSheetId="3">#REF!</definedName>
    <definedName name="item10.11" localSheetId="11">#REF!</definedName>
    <definedName name="item10.11">#REF!</definedName>
    <definedName name="item10.12" localSheetId="13">#REF!</definedName>
    <definedName name="item10.12" localSheetId="14">#REF!</definedName>
    <definedName name="item10.12" localSheetId="15">#REF!</definedName>
    <definedName name="item10.12" localSheetId="16">#REF!</definedName>
    <definedName name="item10.12" localSheetId="17">#REF!</definedName>
    <definedName name="item10.12" localSheetId="18">#REF!</definedName>
    <definedName name="item10.12" localSheetId="20">#REF!</definedName>
    <definedName name="item10.12" localSheetId="21">#REF!</definedName>
    <definedName name="item10.12" localSheetId="3">#REF!</definedName>
    <definedName name="item10.12" localSheetId="11">#REF!</definedName>
    <definedName name="item10.12">#REF!</definedName>
    <definedName name="item10.13" localSheetId="13">#REF!</definedName>
    <definedName name="item10.13" localSheetId="14">#REF!</definedName>
    <definedName name="item10.13" localSheetId="15">#REF!</definedName>
    <definedName name="item10.13" localSheetId="16">#REF!</definedName>
    <definedName name="item10.13" localSheetId="17">#REF!</definedName>
    <definedName name="item10.13" localSheetId="18">#REF!</definedName>
    <definedName name="item10.13" localSheetId="20">#REF!</definedName>
    <definedName name="item10.13" localSheetId="21">#REF!</definedName>
    <definedName name="item10.13" localSheetId="3">#REF!</definedName>
    <definedName name="item10.13" localSheetId="11">#REF!</definedName>
    <definedName name="item10.13">#REF!</definedName>
    <definedName name="item10.14" localSheetId="13">#REF!</definedName>
    <definedName name="item10.14" localSheetId="14">#REF!</definedName>
    <definedName name="item10.14" localSheetId="15">#REF!</definedName>
    <definedName name="item10.14" localSheetId="16">#REF!</definedName>
    <definedName name="item10.14" localSheetId="17">#REF!</definedName>
    <definedName name="item10.14" localSheetId="18">#REF!</definedName>
    <definedName name="item10.14" localSheetId="20">#REF!</definedName>
    <definedName name="item10.14" localSheetId="21">#REF!</definedName>
    <definedName name="item10.14" localSheetId="3">#REF!</definedName>
    <definedName name="item10.14" localSheetId="11">#REF!</definedName>
    <definedName name="item10.14">#REF!</definedName>
    <definedName name="item10.15" localSheetId="13">#REF!</definedName>
    <definedName name="item10.15" localSheetId="14">#REF!</definedName>
    <definedName name="item10.15" localSheetId="15">#REF!</definedName>
    <definedName name="item10.15" localSheetId="16">#REF!</definedName>
    <definedName name="item10.15" localSheetId="17">#REF!</definedName>
    <definedName name="item10.15" localSheetId="18">#REF!</definedName>
    <definedName name="item10.15" localSheetId="20">#REF!</definedName>
    <definedName name="item10.15" localSheetId="21">#REF!</definedName>
    <definedName name="item10.15" localSheetId="3">#REF!</definedName>
    <definedName name="item10.15" localSheetId="11">#REF!</definedName>
    <definedName name="item10.15">#REF!</definedName>
    <definedName name="item10.16" localSheetId="13">#REF!</definedName>
    <definedName name="item10.16" localSheetId="14">#REF!</definedName>
    <definedName name="item10.16" localSheetId="15">#REF!</definedName>
    <definedName name="item10.16" localSheetId="16">#REF!</definedName>
    <definedName name="item10.16" localSheetId="17">#REF!</definedName>
    <definedName name="item10.16" localSheetId="18">#REF!</definedName>
    <definedName name="item10.16" localSheetId="20">#REF!</definedName>
    <definedName name="item10.16" localSheetId="21">#REF!</definedName>
    <definedName name="item10.16" localSheetId="3">#REF!</definedName>
    <definedName name="item10.16" localSheetId="11">#REF!</definedName>
    <definedName name="item10.16">#REF!</definedName>
    <definedName name="item10.17" localSheetId="13">#REF!</definedName>
    <definedName name="item10.17" localSheetId="14">#REF!</definedName>
    <definedName name="item10.17" localSheetId="15">#REF!</definedName>
    <definedName name="item10.17" localSheetId="16">#REF!</definedName>
    <definedName name="item10.17" localSheetId="17">#REF!</definedName>
    <definedName name="item10.17" localSheetId="18">#REF!</definedName>
    <definedName name="item10.17" localSheetId="20">#REF!</definedName>
    <definedName name="item10.17" localSheetId="21">#REF!</definedName>
    <definedName name="item10.17" localSheetId="3">#REF!</definedName>
    <definedName name="item10.17" localSheetId="11">#REF!</definedName>
    <definedName name="item10.17">#REF!</definedName>
    <definedName name="item10.18" localSheetId="13">#REF!</definedName>
    <definedName name="item10.18" localSheetId="14">#REF!</definedName>
    <definedName name="item10.18" localSheetId="15">#REF!</definedName>
    <definedName name="item10.18" localSheetId="16">#REF!</definedName>
    <definedName name="item10.18" localSheetId="17">#REF!</definedName>
    <definedName name="item10.18" localSheetId="18">#REF!</definedName>
    <definedName name="item10.18" localSheetId="20">#REF!</definedName>
    <definedName name="item10.18" localSheetId="21">#REF!</definedName>
    <definedName name="item10.18" localSheetId="3">#REF!</definedName>
    <definedName name="item10.18" localSheetId="11">#REF!</definedName>
    <definedName name="item10.18">#REF!</definedName>
    <definedName name="item10.19" localSheetId="13">#REF!</definedName>
    <definedName name="item10.19" localSheetId="14">#REF!</definedName>
    <definedName name="item10.19" localSheetId="15">#REF!</definedName>
    <definedName name="item10.19" localSheetId="16">#REF!</definedName>
    <definedName name="item10.19" localSheetId="17">#REF!</definedName>
    <definedName name="item10.19" localSheetId="18">#REF!</definedName>
    <definedName name="item10.19" localSheetId="20">#REF!</definedName>
    <definedName name="item10.19" localSheetId="21">#REF!</definedName>
    <definedName name="item10.19" localSheetId="3">#REF!</definedName>
    <definedName name="item10.19" localSheetId="11">#REF!</definedName>
    <definedName name="item10.19">#REF!</definedName>
    <definedName name="item10.2" localSheetId="13">#REF!</definedName>
    <definedName name="item10.2" localSheetId="14">#REF!</definedName>
    <definedName name="item10.2" localSheetId="15">#REF!</definedName>
    <definedName name="item10.2" localSheetId="16">#REF!</definedName>
    <definedName name="item10.2" localSheetId="17">#REF!</definedName>
    <definedName name="item10.2" localSheetId="18">#REF!</definedName>
    <definedName name="item10.2" localSheetId="20">#REF!</definedName>
    <definedName name="item10.2" localSheetId="21">#REF!</definedName>
    <definedName name="item10.2" localSheetId="3">#REF!</definedName>
    <definedName name="item10.2" localSheetId="11">#REF!</definedName>
    <definedName name="item10.2">#REF!</definedName>
    <definedName name="item10.3" localSheetId="13">#REF!</definedName>
    <definedName name="item10.3" localSheetId="14">#REF!</definedName>
    <definedName name="item10.3" localSheetId="15">#REF!</definedName>
    <definedName name="item10.3" localSheetId="16">#REF!</definedName>
    <definedName name="item10.3" localSheetId="17">#REF!</definedName>
    <definedName name="item10.3" localSheetId="18">#REF!</definedName>
    <definedName name="item10.3" localSheetId="20">#REF!</definedName>
    <definedName name="item10.3" localSheetId="21">#REF!</definedName>
    <definedName name="item10.3" localSheetId="3">#REF!</definedName>
    <definedName name="item10.3" localSheetId="11">#REF!</definedName>
    <definedName name="item10.3">#REF!</definedName>
    <definedName name="item10.4" localSheetId="13">#REF!</definedName>
    <definedName name="item10.4" localSheetId="14">#REF!</definedName>
    <definedName name="item10.4" localSheetId="15">#REF!</definedName>
    <definedName name="item10.4" localSheetId="16">#REF!</definedName>
    <definedName name="item10.4" localSheetId="17">#REF!</definedName>
    <definedName name="item10.4" localSheetId="18">#REF!</definedName>
    <definedName name="item10.4" localSheetId="20">#REF!</definedName>
    <definedName name="item10.4" localSheetId="21">#REF!</definedName>
    <definedName name="item10.4" localSheetId="3">#REF!</definedName>
    <definedName name="item10.4" localSheetId="11">#REF!</definedName>
    <definedName name="item10.4">#REF!</definedName>
    <definedName name="item10.5" localSheetId="13">#REF!</definedName>
    <definedName name="item10.5" localSheetId="14">#REF!</definedName>
    <definedName name="item10.5" localSheetId="15">#REF!</definedName>
    <definedName name="item10.5" localSheetId="16">#REF!</definedName>
    <definedName name="item10.5" localSheetId="17">#REF!</definedName>
    <definedName name="item10.5" localSheetId="18">#REF!</definedName>
    <definedName name="item10.5" localSheetId="20">#REF!</definedName>
    <definedName name="item10.5" localSheetId="21">#REF!</definedName>
    <definedName name="item10.5" localSheetId="3">#REF!</definedName>
    <definedName name="item10.5" localSheetId="11">#REF!</definedName>
    <definedName name="item10.5">#REF!</definedName>
    <definedName name="item10.6" localSheetId="13">#REF!</definedName>
    <definedName name="item10.6" localSheetId="14">#REF!</definedName>
    <definedName name="item10.6" localSheetId="15">#REF!</definedName>
    <definedName name="item10.6" localSheetId="16">#REF!</definedName>
    <definedName name="item10.6" localSheetId="17">#REF!</definedName>
    <definedName name="item10.6" localSheetId="18">#REF!</definedName>
    <definedName name="item10.6" localSheetId="20">#REF!</definedName>
    <definedName name="item10.6" localSheetId="21">#REF!</definedName>
    <definedName name="item10.6" localSheetId="3">#REF!</definedName>
    <definedName name="item10.6" localSheetId="11">#REF!</definedName>
    <definedName name="item10.6">#REF!</definedName>
    <definedName name="item10.7" localSheetId="13">#REF!</definedName>
    <definedName name="item10.7" localSheetId="14">#REF!</definedName>
    <definedName name="item10.7" localSheetId="15">#REF!</definedName>
    <definedName name="item10.7" localSheetId="16">#REF!</definedName>
    <definedName name="item10.7" localSheetId="17">#REF!</definedName>
    <definedName name="item10.7" localSheetId="18">#REF!</definedName>
    <definedName name="item10.7" localSheetId="20">#REF!</definedName>
    <definedName name="item10.7" localSheetId="21">#REF!</definedName>
    <definedName name="item10.7" localSheetId="3">#REF!</definedName>
    <definedName name="item10.7" localSheetId="11">#REF!</definedName>
    <definedName name="item10.7">#REF!</definedName>
    <definedName name="item10.8" localSheetId="13">#REF!</definedName>
    <definedName name="item10.8" localSheetId="14">#REF!</definedName>
    <definedName name="item10.8" localSheetId="15">#REF!</definedName>
    <definedName name="item10.8" localSheetId="16">#REF!</definedName>
    <definedName name="item10.8" localSheetId="17">#REF!</definedName>
    <definedName name="item10.8" localSheetId="18">#REF!</definedName>
    <definedName name="item10.8" localSheetId="20">#REF!</definedName>
    <definedName name="item10.8" localSheetId="21">#REF!</definedName>
    <definedName name="item10.8" localSheetId="3">#REF!</definedName>
    <definedName name="item10.8" localSheetId="11">#REF!</definedName>
    <definedName name="item10.8">#REF!</definedName>
    <definedName name="item10.9" localSheetId="13">#REF!</definedName>
    <definedName name="item10.9" localSheetId="14">#REF!</definedName>
    <definedName name="item10.9" localSheetId="15">#REF!</definedName>
    <definedName name="item10.9" localSheetId="16">#REF!</definedName>
    <definedName name="item10.9" localSheetId="17">#REF!</definedName>
    <definedName name="item10.9" localSheetId="18">#REF!</definedName>
    <definedName name="item10.9" localSheetId="20">#REF!</definedName>
    <definedName name="item10.9" localSheetId="21">#REF!</definedName>
    <definedName name="item10.9" localSheetId="3">#REF!</definedName>
    <definedName name="item10.9" localSheetId="11">#REF!</definedName>
    <definedName name="item10.9">#REF!</definedName>
    <definedName name="item11.1" localSheetId="13">#REF!</definedName>
    <definedName name="item11.1" localSheetId="14">#REF!</definedName>
    <definedName name="item11.1" localSheetId="15">#REF!</definedName>
    <definedName name="item11.1" localSheetId="16">#REF!</definedName>
    <definedName name="item11.1" localSheetId="17">#REF!</definedName>
    <definedName name="item11.1" localSheetId="18">#REF!</definedName>
    <definedName name="item11.1" localSheetId="20">#REF!</definedName>
    <definedName name="item11.1" localSheetId="21">#REF!</definedName>
    <definedName name="item11.1" localSheetId="3">#REF!</definedName>
    <definedName name="item11.1" localSheetId="11">#REF!</definedName>
    <definedName name="item11.1">#REF!</definedName>
    <definedName name="item11.10" localSheetId="13">#REF!</definedName>
    <definedName name="item11.10" localSheetId="14">#REF!</definedName>
    <definedName name="item11.10" localSheetId="15">#REF!</definedName>
    <definedName name="item11.10" localSheetId="16">#REF!</definedName>
    <definedName name="item11.10" localSheetId="17">#REF!</definedName>
    <definedName name="item11.10" localSheetId="18">#REF!</definedName>
    <definedName name="item11.10" localSheetId="20">#REF!</definedName>
    <definedName name="item11.10" localSheetId="21">#REF!</definedName>
    <definedName name="item11.10" localSheetId="3">#REF!</definedName>
    <definedName name="item11.10" localSheetId="11">#REF!</definedName>
    <definedName name="item11.10">#REF!</definedName>
    <definedName name="item11.11" localSheetId="13">#REF!</definedName>
    <definedName name="item11.11" localSheetId="14">#REF!</definedName>
    <definedName name="item11.11" localSheetId="15">#REF!</definedName>
    <definedName name="item11.11" localSheetId="16">#REF!</definedName>
    <definedName name="item11.11" localSheetId="17">#REF!</definedName>
    <definedName name="item11.11" localSheetId="18">#REF!</definedName>
    <definedName name="item11.11" localSheetId="20">#REF!</definedName>
    <definedName name="item11.11" localSheetId="21">#REF!</definedName>
    <definedName name="item11.11" localSheetId="3">#REF!</definedName>
    <definedName name="item11.11" localSheetId="11">#REF!</definedName>
    <definedName name="item11.11">#REF!</definedName>
    <definedName name="item11.12" localSheetId="13">#REF!</definedName>
    <definedName name="item11.12" localSheetId="14">#REF!</definedName>
    <definedName name="item11.12" localSheetId="15">#REF!</definedName>
    <definedName name="item11.12" localSheetId="16">#REF!</definedName>
    <definedName name="item11.12" localSheetId="17">#REF!</definedName>
    <definedName name="item11.12" localSheetId="18">#REF!</definedName>
    <definedName name="item11.12" localSheetId="20">#REF!</definedName>
    <definedName name="item11.12" localSheetId="21">#REF!</definedName>
    <definedName name="item11.12" localSheetId="3">#REF!</definedName>
    <definedName name="item11.12" localSheetId="11">#REF!</definedName>
    <definedName name="item11.12">#REF!</definedName>
    <definedName name="item11.13" localSheetId="13">#REF!</definedName>
    <definedName name="item11.13" localSheetId="14">#REF!</definedName>
    <definedName name="item11.13" localSheetId="15">#REF!</definedName>
    <definedName name="item11.13" localSheetId="16">#REF!</definedName>
    <definedName name="item11.13" localSheetId="17">#REF!</definedName>
    <definedName name="item11.13" localSheetId="18">#REF!</definedName>
    <definedName name="item11.13" localSheetId="20">#REF!</definedName>
    <definedName name="item11.13" localSheetId="21">#REF!</definedName>
    <definedName name="item11.13" localSheetId="3">#REF!</definedName>
    <definedName name="item11.13" localSheetId="11">#REF!</definedName>
    <definedName name="item11.13">#REF!</definedName>
    <definedName name="item11.14" localSheetId="13">#REF!</definedName>
    <definedName name="item11.14" localSheetId="14">#REF!</definedName>
    <definedName name="item11.14" localSheetId="15">#REF!</definedName>
    <definedName name="item11.14" localSheetId="16">#REF!</definedName>
    <definedName name="item11.14" localSheetId="17">#REF!</definedName>
    <definedName name="item11.14" localSheetId="18">#REF!</definedName>
    <definedName name="item11.14" localSheetId="20">#REF!</definedName>
    <definedName name="item11.14" localSheetId="21">#REF!</definedName>
    <definedName name="item11.14" localSheetId="3">#REF!</definedName>
    <definedName name="item11.14" localSheetId="11">#REF!</definedName>
    <definedName name="item11.14">#REF!</definedName>
    <definedName name="item11.15" localSheetId="13">#REF!</definedName>
    <definedName name="item11.15" localSheetId="14">#REF!</definedName>
    <definedName name="item11.15" localSheetId="15">#REF!</definedName>
    <definedName name="item11.15" localSheetId="16">#REF!</definedName>
    <definedName name="item11.15" localSheetId="17">#REF!</definedName>
    <definedName name="item11.15" localSheetId="18">#REF!</definedName>
    <definedName name="item11.15" localSheetId="20">#REF!</definedName>
    <definedName name="item11.15" localSheetId="21">#REF!</definedName>
    <definedName name="item11.15" localSheetId="3">#REF!</definedName>
    <definedName name="item11.15" localSheetId="11">#REF!</definedName>
    <definedName name="item11.15">#REF!</definedName>
    <definedName name="item11.16" localSheetId="13">#REF!</definedName>
    <definedName name="item11.16" localSheetId="14">#REF!</definedName>
    <definedName name="item11.16" localSheetId="15">#REF!</definedName>
    <definedName name="item11.16" localSheetId="16">#REF!</definedName>
    <definedName name="item11.16" localSheetId="17">#REF!</definedName>
    <definedName name="item11.16" localSheetId="18">#REF!</definedName>
    <definedName name="item11.16" localSheetId="20">#REF!</definedName>
    <definedName name="item11.16" localSheetId="21">#REF!</definedName>
    <definedName name="item11.16" localSheetId="3">#REF!</definedName>
    <definedName name="item11.16" localSheetId="11">#REF!</definedName>
    <definedName name="item11.16">#REF!</definedName>
    <definedName name="item11.17" localSheetId="13">#REF!</definedName>
    <definedName name="item11.17" localSheetId="14">#REF!</definedName>
    <definedName name="item11.17" localSheetId="15">#REF!</definedName>
    <definedName name="item11.17" localSheetId="16">#REF!</definedName>
    <definedName name="item11.17" localSheetId="17">#REF!</definedName>
    <definedName name="item11.17" localSheetId="18">#REF!</definedName>
    <definedName name="item11.17" localSheetId="20">#REF!</definedName>
    <definedName name="item11.17" localSheetId="21">#REF!</definedName>
    <definedName name="item11.17" localSheetId="3">#REF!</definedName>
    <definedName name="item11.17" localSheetId="11">#REF!</definedName>
    <definedName name="item11.17">#REF!</definedName>
    <definedName name="item11.18" localSheetId="13">#REF!</definedName>
    <definedName name="item11.18" localSheetId="14">#REF!</definedName>
    <definedName name="item11.18" localSheetId="15">#REF!</definedName>
    <definedName name="item11.18" localSheetId="16">#REF!</definedName>
    <definedName name="item11.18" localSheetId="17">#REF!</definedName>
    <definedName name="item11.18" localSheetId="18">#REF!</definedName>
    <definedName name="item11.18" localSheetId="20">#REF!</definedName>
    <definedName name="item11.18" localSheetId="21">#REF!</definedName>
    <definedName name="item11.18" localSheetId="3">#REF!</definedName>
    <definedName name="item11.18" localSheetId="11">#REF!</definedName>
    <definedName name="item11.18">#REF!</definedName>
    <definedName name="item11.19" localSheetId="13">#REF!</definedName>
    <definedName name="item11.19" localSheetId="14">#REF!</definedName>
    <definedName name="item11.19" localSheetId="15">#REF!</definedName>
    <definedName name="item11.19" localSheetId="16">#REF!</definedName>
    <definedName name="item11.19" localSheetId="17">#REF!</definedName>
    <definedName name="item11.19" localSheetId="18">#REF!</definedName>
    <definedName name="item11.19" localSheetId="20">#REF!</definedName>
    <definedName name="item11.19" localSheetId="21">#REF!</definedName>
    <definedName name="item11.19" localSheetId="3">#REF!</definedName>
    <definedName name="item11.19" localSheetId="11">#REF!</definedName>
    <definedName name="item11.19">#REF!</definedName>
    <definedName name="item11.2" localSheetId="13">#REF!</definedName>
    <definedName name="item11.2" localSheetId="14">#REF!</definedName>
    <definedName name="item11.2" localSheetId="15">#REF!</definedName>
    <definedName name="item11.2" localSheetId="16">#REF!</definedName>
    <definedName name="item11.2" localSheetId="17">#REF!</definedName>
    <definedName name="item11.2" localSheetId="18">#REF!</definedName>
    <definedName name="item11.2" localSheetId="20">#REF!</definedName>
    <definedName name="item11.2" localSheetId="21">#REF!</definedName>
    <definedName name="item11.2" localSheetId="3">#REF!</definedName>
    <definedName name="item11.2" localSheetId="11">#REF!</definedName>
    <definedName name="item11.2">#REF!</definedName>
    <definedName name="item11.20" localSheetId="13">#REF!</definedName>
    <definedName name="item11.20" localSheetId="14">#REF!</definedName>
    <definedName name="item11.20" localSheetId="15">#REF!</definedName>
    <definedName name="item11.20" localSheetId="16">#REF!</definedName>
    <definedName name="item11.20" localSheetId="17">#REF!</definedName>
    <definedName name="item11.20" localSheetId="18">#REF!</definedName>
    <definedName name="item11.20" localSheetId="20">#REF!</definedName>
    <definedName name="item11.20" localSheetId="21">#REF!</definedName>
    <definedName name="item11.20" localSheetId="3">#REF!</definedName>
    <definedName name="item11.20" localSheetId="11">#REF!</definedName>
    <definedName name="item11.20">#REF!</definedName>
    <definedName name="item11.21" localSheetId="13">#REF!</definedName>
    <definedName name="item11.21" localSheetId="14">#REF!</definedName>
    <definedName name="item11.21" localSheetId="15">#REF!</definedName>
    <definedName name="item11.21" localSheetId="16">#REF!</definedName>
    <definedName name="item11.21" localSheetId="17">#REF!</definedName>
    <definedName name="item11.21" localSheetId="18">#REF!</definedName>
    <definedName name="item11.21" localSheetId="20">#REF!</definedName>
    <definedName name="item11.21" localSheetId="21">#REF!</definedName>
    <definedName name="item11.21" localSheetId="3">#REF!</definedName>
    <definedName name="item11.21" localSheetId="11">#REF!</definedName>
    <definedName name="item11.21">#REF!</definedName>
    <definedName name="item11.22" localSheetId="13">#REF!</definedName>
    <definedName name="item11.22" localSheetId="14">#REF!</definedName>
    <definedName name="item11.22" localSheetId="15">#REF!</definedName>
    <definedName name="item11.22" localSheetId="16">#REF!</definedName>
    <definedName name="item11.22" localSheetId="17">#REF!</definedName>
    <definedName name="item11.22" localSheetId="18">#REF!</definedName>
    <definedName name="item11.22" localSheetId="20">#REF!</definedName>
    <definedName name="item11.22" localSheetId="21">#REF!</definedName>
    <definedName name="item11.22" localSheetId="3">#REF!</definedName>
    <definedName name="item11.22" localSheetId="11">#REF!</definedName>
    <definedName name="item11.22">#REF!</definedName>
    <definedName name="item11.23" localSheetId="13">#REF!</definedName>
    <definedName name="item11.23" localSheetId="14">#REF!</definedName>
    <definedName name="item11.23" localSheetId="15">#REF!</definedName>
    <definedName name="item11.23" localSheetId="16">#REF!</definedName>
    <definedName name="item11.23" localSheetId="17">#REF!</definedName>
    <definedName name="item11.23" localSheetId="18">#REF!</definedName>
    <definedName name="item11.23" localSheetId="20">#REF!</definedName>
    <definedName name="item11.23" localSheetId="21">#REF!</definedName>
    <definedName name="item11.23" localSheetId="3">#REF!</definedName>
    <definedName name="item11.23" localSheetId="11">#REF!</definedName>
    <definedName name="item11.23">#REF!</definedName>
    <definedName name="item11.24" localSheetId="13">#REF!</definedName>
    <definedName name="item11.24" localSheetId="14">#REF!</definedName>
    <definedName name="item11.24" localSheetId="15">#REF!</definedName>
    <definedName name="item11.24" localSheetId="16">#REF!</definedName>
    <definedName name="item11.24" localSheetId="17">#REF!</definedName>
    <definedName name="item11.24" localSheetId="18">#REF!</definedName>
    <definedName name="item11.24" localSheetId="20">#REF!</definedName>
    <definedName name="item11.24" localSheetId="21">#REF!</definedName>
    <definedName name="item11.24" localSheetId="3">#REF!</definedName>
    <definedName name="item11.24" localSheetId="11">#REF!</definedName>
    <definedName name="item11.24">#REF!</definedName>
    <definedName name="item11.25" localSheetId="13">#REF!</definedName>
    <definedName name="item11.25" localSheetId="14">#REF!</definedName>
    <definedName name="item11.25" localSheetId="15">#REF!</definedName>
    <definedName name="item11.25" localSheetId="16">#REF!</definedName>
    <definedName name="item11.25" localSheetId="17">#REF!</definedName>
    <definedName name="item11.25" localSheetId="18">#REF!</definedName>
    <definedName name="item11.25" localSheetId="20">#REF!</definedName>
    <definedName name="item11.25" localSheetId="21">#REF!</definedName>
    <definedName name="item11.25" localSheetId="3">#REF!</definedName>
    <definedName name="item11.25" localSheetId="11">#REF!</definedName>
    <definedName name="item11.25">#REF!</definedName>
    <definedName name="item11.26" localSheetId="13">#REF!</definedName>
    <definedName name="item11.26" localSheetId="14">#REF!</definedName>
    <definedName name="item11.26" localSheetId="15">#REF!</definedName>
    <definedName name="item11.26" localSheetId="16">#REF!</definedName>
    <definedName name="item11.26" localSheetId="17">#REF!</definedName>
    <definedName name="item11.26" localSheetId="18">#REF!</definedName>
    <definedName name="item11.26" localSheetId="20">#REF!</definedName>
    <definedName name="item11.26" localSheetId="21">#REF!</definedName>
    <definedName name="item11.26" localSheetId="3">#REF!</definedName>
    <definedName name="item11.26" localSheetId="11">#REF!</definedName>
    <definedName name="item11.26">#REF!</definedName>
    <definedName name="item11.27" localSheetId="13">#REF!</definedName>
    <definedName name="item11.27" localSheetId="14">#REF!</definedName>
    <definedName name="item11.27" localSheetId="15">#REF!</definedName>
    <definedName name="item11.27" localSheetId="16">#REF!</definedName>
    <definedName name="item11.27" localSheetId="17">#REF!</definedName>
    <definedName name="item11.27" localSheetId="18">#REF!</definedName>
    <definedName name="item11.27" localSheetId="20">#REF!</definedName>
    <definedName name="item11.27" localSheetId="21">#REF!</definedName>
    <definedName name="item11.27" localSheetId="3">#REF!</definedName>
    <definedName name="item11.27" localSheetId="11">#REF!</definedName>
    <definedName name="item11.27">#REF!</definedName>
    <definedName name="item11.28" localSheetId="13">#REF!</definedName>
    <definedName name="item11.28" localSheetId="14">#REF!</definedName>
    <definedName name="item11.28" localSheetId="15">#REF!</definedName>
    <definedName name="item11.28" localSheetId="16">#REF!</definedName>
    <definedName name="item11.28" localSheetId="17">#REF!</definedName>
    <definedName name="item11.28" localSheetId="18">#REF!</definedName>
    <definedName name="item11.28" localSheetId="20">#REF!</definedName>
    <definedName name="item11.28" localSheetId="21">#REF!</definedName>
    <definedName name="item11.28" localSheetId="3">#REF!</definedName>
    <definedName name="item11.28" localSheetId="11">#REF!</definedName>
    <definedName name="item11.28">#REF!</definedName>
    <definedName name="item11.3" localSheetId="13">#REF!</definedName>
    <definedName name="item11.3" localSheetId="14">#REF!</definedName>
    <definedName name="item11.3" localSheetId="15">#REF!</definedName>
    <definedName name="item11.3" localSheetId="16">#REF!</definedName>
    <definedName name="item11.3" localSheetId="17">#REF!</definedName>
    <definedName name="item11.3" localSheetId="18">#REF!</definedName>
    <definedName name="item11.3" localSheetId="20">#REF!</definedName>
    <definedName name="item11.3" localSheetId="21">#REF!</definedName>
    <definedName name="item11.3" localSheetId="3">#REF!</definedName>
    <definedName name="item11.3" localSheetId="11">#REF!</definedName>
    <definedName name="item11.3">#REF!</definedName>
    <definedName name="item11.4" localSheetId="13">#REF!</definedName>
    <definedName name="item11.4" localSheetId="14">#REF!</definedName>
    <definedName name="item11.4" localSheetId="15">#REF!</definedName>
    <definedName name="item11.4" localSheetId="16">#REF!</definedName>
    <definedName name="item11.4" localSheetId="17">#REF!</definedName>
    <definedName name="item11.4" localSheetId="18">#REF!</definedName>
    <definedName name="item11.4" localSheetId="20">#REF!</definedName>
    <definedName name="item11.4" localSheetId="21">#REF!</definedName>
    <definedName name="item11.4" localSheetId="3">#REF!</definedName>
    <definedName name="item11.4" localSheetId="11">#REF!</definedName>
    <definedName name="item11.4">#REF!</definedName>
    <definedName name="item11.5" localSheetId="13">#REF!</definedName>
    <definedName name="item11.5" localSheetId="14">#REF!</definedName>
    <definedName name="item11.5" localSheetId="15">#REF!</definedName>
    <definedName name="item11.5" localSheetId="16">#REF!</definedName>
    <definedName name="item11.5" localSheetId="17">#REF!</definedName>
    <definedName name="item11.5" localSheetId="18">#REF!</definedName>
    <definedName name="item11.5" localSheetId="20">#REF!</definedName>
    <definedName name="item11.5" localSheetId="21">#REF!</definedName>
    <definedName name="item11.5" localSheetId="3">#REF!</definedName>
    <definedName name="item11.5" localSheetId="11">#REF!</definedName>
    <definedName name="item11.5">#REF!</definedName>
    <definedName name="item11.6" localSheetId="13">#REF!</definedName>
    <definedName name="item11.6" localSheetId="14">#REF!</definedName>
    <definedName name="item11.6" localSheetId="15">#REF!</definedName>
    <definedName name="item11.6" localSheetId="16">#REF!</definedName>
    <definedName name="item11.6" localSheetId="17">#REF!</definedName>
    <definedName name="item11.6" localSheetId="18">#REF!</definedName>
    <definedName name="item11.6" localSheetId="20">#REF!</definedName>
    <definedName name="item11.6" localSheetId="21">#REF!</definedName>
    <definedName name="item11.6" localSheetId="3">#REF!</definedName>
    <definedName name="item11.6" localSheetId="11">#REF!</definedName>
    <definedName name="item11.6">#REF!</definedName>
    <definedName name="item11.7" localSheetId="13">#REF!</definedName>
    <definedName name="item11.7" localSheetId="14">#REF!</definedName>
    <definedName name="item11.7" localSheetId="15">#REF!</definedName>
    <definedName name="item11.7" localSheetId="16">#REF!</definedName>
    <definedName name="item11.7" localSheetId="17">#REF!</definedName>
    <definedName name="item11.7" localSheetId="18">#REF!</definedName>
    <definedName name="item11.7" localSheetId="20">#REF!</definedName>
    <definedName name="item11.7" localSheetId="21">#REF!</definedName>
    <definedName name="item11.7" localSheetId="3">#REF!</definedName>
    <definedName name="item11.7" localSheetId="11">#REF!</definedName>
    <definedName name="item11.7">#REF!</definedName>
    <definedName name="item11.8" localSheetId="13">#REF!</definedName>
    <definedName name="item11.8" localSheetId="14">#REF!</definedName>
    <definedName name="item11.8" localSheetId="15">#REF!</definedName>
    <definedName name="item11.8" localSheetId="16">#REF!</definedName>
    <definedName name="item11.8" localSheetId="17">#REF!</definedName>
    <definedName name="item11.8" localSheetId="18">#REF!</definedName>
    <definedName name="item11.8" localSheetId="20">#REF!</definedName>
    <definedName name="item11.8" localSheetId="21">#REF!</definedName>
    <definedName name="item11.8" localSheetId="3">#REF!</definedName>
    <definedName name="item11.8" localSheetId="11">#REF!</definedName>
    <definedName name="item11.8">#REF!</definedName>
    <definedName name="item11.9" localSheetId="13">#REF!</definedName>
    <definedName name="item11.9" localSheetId="14">#REF!</definedName>
    <definedName name="item11.9" localSheetId="15">#REF!</definedName>
    <definedName name="item11.9" localSheetId="16">#REF!</definedName>
    <definedName name="item11.9" localSheetId="17">#REF!</definedName>
    <definedName name="item11.9" localSheetId="18">#REF!</definedName>
    <definedName name="item11.9" localSheetId="20">#REF!</definedName>
    <definedName name="item11.9" localSheetId="21">#REF!</definedName>
    <definedName name="item11.9" localSheetId="3">#REF!</definedName>
    <definedName name="item11.9" localSheetId="11">#REF!</definedName>
    <definedName name="item11.9">#REF!</definedName>
    <definedName name="item12.0" localSheetId="13">#REF!</definedName>
    <definedName name="item12.0" localSheetId="14">#REF!</definedName>
    <definedName name="item12.0" localSheetId="15">#REF!</definedName>
    <definedName name="item12.0" localSheetId="16">#REF!</definedName>
    <definedName name="item12.0" localSheetId="17">#REF!</definedName>
    <definedName name="item12.0" localSheetId="18">#REF!</definedName>
    <definedName name="item12.0" localSheetId="20">#REF!</definedName>
    <definedName name="item12.0" localSheetId="21">#REF!</definedName>
    <definedName name="item12.0" localSheetId="3">#REF!</definedName>
    <definedName name="item12.0" localSheetId="11">#REF!</definedName>
    <definedName name="item12.0">#REF!</definedName>
    <definedName name="item12.1" localSheetId="13">#REF!</definedName>
    <definedName name="item12.1" localSheetId="14">#REF!</definedName>
    <definedName name="item12.1" localSheetId="15">#REF!</definedName>
    <definedName name="item12.1" localSheetId="16">#REF!</definedName>
    <definedName name="item12.1" localSheetId="17">#REF!</definedName>
    <definedName name="item12.1" localSheetId="18">#REF!</definedName>
    <definedName name="item12.1" localSheetId="20">#REF!</definedName>
    <definedName name="item12.1" localSheetId="21">#REF!</definedName>
    <definedName name="item12.1" localSheetId="3">#REF!</definedName>
    <definedName name="item12.1" localSheetId="11">#REF!</definedName>
    <definedName name="item12.1">#REF!</definedName>
    <definedName name="item12.10" localSheetId="13">#REF!</definedName>
    <definedName name="item12.10" localSheetId="14">#REF!</definedName>
    <definedName name="item12.10" localSheetId="15">#REF!</definedName>
    <definedName name="item12.10" localSheetId="16">#REF!</definedName>
    <definedName name="item12.10" localSheetId="17">#REF!</definedName>
    <definedName name="item12.10" localSheetId="18">#REF!</definedName>
    <definedName name="item12.10" localSheetId="20">#REF!</definedName>
    <definedName name="item12.10" localSheetId="21">#REF!</definedName>
    <definedName name="item12.10" localSheetId="3">#REF!</definedName>
    <definedName name="item12.10" localSheetId="11">#REF!</definedName>
    <definedName name="item12.10">#REF!</definedName>
    <definedName name="item12.11" localSheetId="13">#REF!</definedName>
    <definedName name="item12.11" localSheetId="14">#REF!</definedName>
    <definedName name="item12.11" localSheetId="15">#REF!</definedName>
    <definedName name="item12.11" localSheetId="16">#REF!</definedName>
    <definedName name="item12.11" localSheetId="17">#REF!</definedName>
    <definedName name="item12.11" localSheetId="18">#REF!</definedName>
    <definedName name="item12.11" localSheetId="20">#REF!</definedName>
    <definedName name="item12.11" localSheetId="21">#REF!</definedName>
    <definedName name="item12.11" localSheetId="3">#REF!</definedName>
    <definedName name="item12.11" localSheetId="11">#REF!</definedName>
    <definedName name="item12.11">#REF!</definedName>
    <definedName name="item12.12" localSheetId="13">#REF!</definedName>
    <definedName name="item12.12" localSheetId="14">#REF!</definedName>
    <definedName name="item12.12" localSheetId="15">#REF!</definedName>
    <definedName name="item12.12" localSheetId="16">#REF!</definedName>
    <definedName name="item12.12" localSheetId="17">#REF!</definedName>
    <definedName name="item12.12" localSheetId="18">#REF!</definedName>
    <definedName name="item12.12" localSheetId="20">#REF!</definedName>
    <definedName name="item12.12" localSheetId="21">#REF!</definedName>
    <definedName name="item12.12" localSheetId="3">#REF!</definedName>
    <definedName name="item12.12" localSheetId="11">#REF!</definedName>
    <definedName name="item12.12">#REF!</definedName>
    <definedName name="item12.13" localSheetId="13">#REF!</definedName>
    <definedName name="item12.13" localSheetId="14">#REF!</definedName>
    <definedName name="item12.13" localSheetId="15">#REF!</definedName>
    <definedName name="item12.13" localSheetId="16">#REF!</definedName>
    <definedName name="item12.13" localSheetId="17">#REF!</definedName>
    <definedName name="item12.13" localSheetId="18">#REF!</definedName>
    <definedName name="item12.13" localSheetId="20">#REF!</definedName>
    <definedName name="item12.13" localSheetId="21">#REF!</definedName>
    <definedName name="item12.13" localSheetId="3">#REF!</definedName>
    <definedName name="item12.13" localSheetId="11">#REF!</definedName>
    <definedName name="item12.13">#REF!</definedName>
    <definedName name="item12.14" localSheetId="13">#REF!</definedName>
    <definedName name="item12.14" localSheetId="14">#REF!</definedName>
    <definedName name="item12.14" localSheetId="15">#REF!</definedName>
    <definedName name="item12.14" localSheetId="16">#REF!</definedName>
    <definedName name="item12.14" localSheetId="17">#REF!</definedName>
    <definedName name="item12.14" localSheetId="18">#REF!</definedName>
    <definedName name="item12.14" localSheetId="20">#REF!</definedName>
    <definedName name="item12.14" localSheetId="21">#REF!</definedName>
    <definedName name="item12.14" localSheetId="3">#REF!</definedName>
    <definedName name="item12.14" localSheetId="11">#REF!</definedName>
    <definedName name="item12.14">#REF!</definedName>
    <definedName name="item12.15" localSheetId="13">#REF!</definedName>
    <definedName name="item12.15" localSheetId="14">#REF!</definedName>
    <definedName name="item12.15" localSheetId="15">#REF!</definedName>
    <definedName name="item12.15" localSheetId="16">#REF!</definedName>
    <definedName name="item12.15" localSheetId="17">#REF!</definedName>
    <definedName name="item12.15" localSheetId="18">#REF!</definedName>
    <definedName name="item12.15" localSheetId="20">#REF!</definedName>
    <definedName name="item12.15" localSheetId="21">#REF!</definedName>
    <definedName name="item12.15" localSheetId="3">#REF!</definedName>
    <definedName name="item12.15" localSheetId="11">#REF!</definedName>
    <definedName name="item12.15">#REF!</definedName>
    <definedName name="item12.16" localSheetId="13">#REF!</definedName>
    <definedName name="item12.16" localSheetId="14">#REF!</definedName>
    <definedName name="item12.16" localSheetId="15">#REF!</definedName>
    <definedName name="item12.16" localSheetId="16">#REF!</definedName>
    <definedName name="item12.16" localSheetId="17">#REF!</definedName>
    <definedName name="item12.16" localSheetId="18">#REF!</definedName>
    <definedName name="item12.16" localSheetId="20">#REF!</definedName>
    <definedName name="item12.16" localSheetId="21">#REF!</definedName>
    <definedName name="item12.16" localSheetId="3">#REF!</definedName>
    <definedName name="item12.16" localSheetId="11">#REF!</definedName>
    <definedName name="item12.16">#REF!</definedName>
    <definedName name="item12.17" localSheetId="13">#REF!</definedName>
    <definedName name="item12.17" localSheetId="14">#REF!</definedName>
    <definedName name="item12.17" localSheetId="15">#REF!</definedName>
    <definedName name="item12.17" localSheetId="16">#REF!</definedName>
    <definedName name="item12.17" localSheetId="17">#REF!</definedName>
    <definedName name="item12.17" localSheetId="18">#REF!</definedName>
    <definedName name="item12.17" localSheetId="20">#REF!</definedName>
    <definedName name="item12.17" localSheetId="21">#REF!</definedName>
    <definedName name="item12.17" localSheetId="3">#REF!</definedName>
    <definedName name="item12.17" localSheetId="11">#REF!</definedName>
    <definedName name="item12.17">#REF!</definedName>
    <definedName name="item12.18" localSheetId="13">#REF!</definedName>
    <definedName name="item12.18" localSheetId="14">#REF!</definedName>
    <definedName name="item12.18" localSheetId="15">#REF!</definedName>
    <definedName name="item12.18" localSheetId="16">#REF!</definedName>
    <definedName name="item12.18" localSheetId="17">#REF!</definedName>
    <definedName name="item12.18" localSheetId="18">#REF!</definedName>
    <definedName name="item12.18" localSheetId="20">#REF!</definedName>
    <definedName name="item12.18" localSheetId="21">#REF!</definedName>
    <definedName name="item12.18" localSheetId="3">#REF!</definedName>
    <definedName name="item12.18" localSheetId="11">#REF!</definedName>
    <definedName name="item12.18">#REF!</definedName>
    <definedName name="item12.19" localSheetId="13">#REF!</definedName>
    <definedName name="item12.19" localSheetId="14">#REF!</definedName>
    <definedName name="item12.19" localSheetId="15">#REF!</definedName>
    <definedName name="item12.19" localSheetId="16">#REF!</definedName>
    <definedName name="item12.19" localSheetId="17">#REF!</definedName>
    <definedName name="item12.19" localSheetId="18">#REF!</definedName>
    <definedName name="item12.19" localSheetId="20">#REF!</definedName>
    <definedName name="item12.19" localSheetId="21">#REF!</definedName>
    <definedName name="item12.19" localSheetId="3">#REF!</definedName>
    <definedName name="item12.19" localSheetId="11">#REF!</definedName>
    <definedName name="item12.19">#REF!</definedName>
    <definedName name="item12.2" localSheetId="13">#REF!</definedName>
    <definedName name="item12.2" localSheetId="14">#REF!</definedName>
    <definedName name="item12.2" localSheetId="15">#REF!</definedName>
    <definedName name="item12.2" localSheetId="16">#REF!</definedName>
    <definedName name="item12.2" localSheetId="17">#REF!</definedName>
    <definedName name="item12.2" localSheetId="18">#REF!</definedName>
    <definedName name="item12.2" localSheetId="20">#REF!</definedName>
    <definedName name="item12.2" localSheetId="21">#REF!</definedName>
    <definedName name="item12.2" localSheetId="3">#REF!</definedName>
    <definedName name="item12.2" localSheetId="11">#REF!</definedName>
    <definedName name="item12.2">#REF!</definedName>
    <definedName name="item12.20" localSheetId="13">#REF!</definedName>
    <definedName name="item12.20" localSheetId="14">#REF!</definedName>
    <definedName name="item12.20" localSheetId="15">#REF!</definedName>
    <definedName name="item12.20" localSheetId="16">#REF!</definedName>
    <definedName name="item12.20" localSheetId="17">#REF!</definedName>
    <definedName name="item12.20" localSheetId="18">#REF!</definedName>
    <definedName name="item12.20" localSheetId="20">#REF!</definedName>
    <definedName name="item12.20" localSheetId="21">#REF!</definedName>
    <definedName name="item12.20" localSheetId="3">#REF!</definedName>
    <definedName name="item12.20" localSheetId="11">#REF!</definedName>
    <definedName name="item12.20">#REF!</definedName>
    <definedName name="item12.21" localSheetId="13">#REF!</definedName>
    <definedName name="item12.21" localSheetId="14">#REF!</definedName>
    <definedName name="item12.21" localSheetId="15">#REF!</definedName>
    <definedName name="item12.21" localSheetId="16">#REF!</definedName>
    <definedName name="item12.21" localSheetId="17">#REF!</definedName>
    <definedName name="item12.21" localSheetId="18">#REF!</definedName>
    <definedName name="item12.21" localSheetId="20">#REF!</definedName>
    <definedName name="item12.21" localSheetId="21">#REF!</definedName>
    <definedName name="item12.21" localSheetId="3">#REF!</definedName>
    <definedName name="item12.21" localSheetId="11">#REF!</definedName>
    <definedName name="item12.21">#REF!</definedName>
    <definedName name="item12.22" localSheetId="13">#REF!</definedName>
    <definedName name="item12.22" localSheetId="14">#REF!</definedName>
    <definedName name="item12.22" localSheetId="15">#REF!</definedName>
    <definedName name="item12.22" localSheetId="16">#REF!</definedName>
    <definedName name="item12.22" localSheetId="17">#REF!</definedName>
    <definedName name="item12.22" localSheetId="18">#REF!</definedName>
    <definedName name="item12.22" localSheetId="20">#REF!</definedName>
    <definedName name="item12.22" localSheetId="21">#REF!</definedName>
    <definedName name="item12.22" localSheetId="3">#REF!</definedName>
    <definedName name="item12.22" localSheetId="11">#REF!</definedName>
    <definedName name="item12.22">#REF!</definedName>
    <definedName name="item12.23" localSheetId="13">#REF!</definedName>
    <definedName name="item12.23" localSheetId="14">#REF!</definedName>
    <definedName name="item12.23" localSheetId="15">#REF!</definedName>
    <definedName name="item12.23" localSheetId="16">#REF!</definedName>
    <definedName name="item12.23" localSheetId="17">#REF!</definedName>
    <definedName name="item12.23" localSheetId="18">#REF!</definedName>
    <definedName name="item12.23" localSheetId="20">#REF!</definedName>
    <definedName name="item12.23" localSheetId="21">#REF!</definedName>
    <definedName name="item12.23" localSheetId="3">#REF!</definedName>
    <definedName name="item12.23" localSheetId="11">#REF!</definedName>
    <definedName name="item12.23">#REF!</definedName>
    <definedName name="item12.24" localSheetId="13">#REF!</definedName>
    <definedName name="item12.24" localSheetId="14">#REF!</definedName>
    <definedName name="item12.24" localSheetId="15">#REF!</definedName>
    <definedName name="item12.24" localSheetId="16">#REF!</definedName>
    <definedName name="item12.24" localSheetId="17">#REF!</definedName>
    <definedName name="item12.24" localSheetId="18">#REF!</definedName>
    <definedName name="item12.24" localSheetId="20">#REF!</definedName>
    <definedName name="item12.24" localSheetId="21">#REF!</definedName>
    <definedName name="item12.24" localSheetId="3">#REF!</definedName>
    <definedName name="item12.24" localSheetId="11">#REF!</definedName>
    <definedName name="item12.24">#REF!</definedName>
    <definedName name="item12.25" localSheetId="13">#REF!</definedName>
    <definedName name="item12.25" localSheetId="14">#REF!</definedName>
    <definedName name="item12.25" localSheetId="15">#REF!</definedName>
    <definedName name="item12.25" localSheetId="16">#REF!</definedName>
    <definedName name="item12.25" localSheetId="17">#REF!</definedName>
    <definedName name="item12.25" localSheetId="18">#REF!</definedName>
    <definedName name="item12.25" localSheetId="20">#REF!</definedName>
    <definedName name="item12.25" localSheetId="21">#REF!</definedName>
    <definedName name="item12.25" localSheetId="3">#REF!</definedName>
    <definedName name="item12.25" localSheetId="11">#REF!</definedName>
    <definedName name="item12.25">#REF!</definedName>
    <definedName name="item12.26" localSheetId="13">#REF!</definedName>
    <definedName name="item12.26" localSheetId="14">#REF!</definedName>
    <definedName name="item12.26" localSheetId="15">#REF!</definedName>
    <definedName name="item12.26" localSheetId="16">#REF!</definedName>
    <definedName name="item12.26" localSheetId="17">#REF!</definedName>
    <definedName name="item12.26" localSheetId="18">#REF!</definedName>
    <definedName name="item12.26" localSheetId="20">#REF!</definedName>
    <definedName name="item12.26" localSheetId="21">#REF!</definedName>
    <definedName name="item12.26" localSheetId="3">#REF!</definedName>
    <definedName name="item12.26" localSheetId="11">#REF!</definedName>
    <definedName name="item12.26">#REF!</definedName>
    <definedName name="item12.27" localSheetId="13">#REF!</definedName>
    <definedName name="item12.27" localSheetId="14">#REF!</definedName>
    <definedName name="item12.27" localSheetId="15">#REF!</definedName>
    <definedName name="item12.27" localSheetId="16">#REF!</definedName>
    <definedName name="item12.27" localSheetId="17">#REF!</definedName>
    <definedName name="item12.27" localSheetId="18">#REF!</definedName>
    <definedName name="item12.27" localSheetId="20">#REF!</definedName>
    <definedName name="item12.27" localSheetId="21">#REF!</definedName>
    <definedName name="item12.27" localSheetId="3">#REF!</definedName>
    <definedName name="item12.27" localSheetId="11">#REF!</definedName>
    <definedName name="item12.27">#REF!</definedName>
    <definedName name="item12.3" localSheetId="13">#REF!</definedName>
    <definedName name="item12.3" localSheetId="14">#REF!</definedName>
    <definedName name="item12.3" localSheetId="15">#REF!</definedName>
    <definedName name="item12.3" localSheetId="16">#REF!</definedName>
    <definedName name="item12.3" localSheetId="17">#REF!</definedName>
    <definedName name="item12.3" localSheetId="18">#REF!</definedName>
    <definedName name="item12.3" localSheetId="20">#REF!</definedName>
    <definedName name="item12.3" localSheetId="21">#REF!</definedName>
    <definedName name="item12.3" localSheetId="3">#REF!</definedName>
    <definedName name="item12.3" localSheetId="11">#REF!</definedName>
    <definedName name="item12.3">#REF!</definedName>
    <definedName name="item12.4" localSheetId="13">#REF!</definedName>
    <definedName name="item12.4" localSheetId="14">#REF!</definedName>
    <definedName name="item12.4" localSheetId="15">#REF!</definedName>
    <definedName name="item12.4" localSheetId="16">#REF!</definedName>
    <definedName name="item12.4" localSheetId="17">#REF!</definedName>
    <definedName name="item12.4" localSheetId="18">#REF!</definedName>
    <definedName name="item12.4" localSheetId="20">#REF!</definedName>
    <definedName name="item12.4" localSheetId="21">#REF!</definedName>
    <definedName name="item12.4" localSheetId="3">#REF!</definedName>
    <definedName name="item12.4" localSheetId="11">#REF!</definedName>
    <definedName name="item12.4">#REF!</definedName>
    <definedName name="item12.5" localSheetId="13">#REF!</definedName>
    <definedName name="item12.5" localSheetId="14">#REF!</definedName>
    <definedName name="item12.5" localSheetId="15">#REF!</definedName>
    <definedName name="item12.5" localSheetId="16">#REF!</definedName>
    <definedName name="item12.5" localSheetId="17">#REF!</definedName>
    <definedName name="item12.5" localSheetId="18">#REF!</definedName>
    <definedName name="item12.5" localSheetId="20">#REF!</definedName>
    <definedName name="item12.5" localSheetId="21">#REF!</definedName>
    <definedName name="item12.5" localSheetId="3">#REF!</definedName>
    <definedName name="item12.5" localSheetId="11">#REF!</definedName>
    <definedName name="item12.5">#REF!</definedName>
    <definedName name="item12.6" localSheetId="13">#REF!</definedName>
    <definedName name="item12.6" localSheetId="14">#REF!</definedName>
    <definedName name="item12.6" localSheetId="15">#REF!</definedName>
    <definedName name="item12.6" localSheetId="16">#REF!</definedName>
    <definedName name="item12.6" localSheetId="17">#REF!</definedName>
    <definedName name="item12.6" localSheetId="18">#REF!</definedName>
    <definedName name="item12.6" localSheetId="20">#REF!</definedName>
    <definedName name="item12.6" localSheetId="21">#REF!</definedName>
    <definedName name="item12.6" localSheetId="3">#REF!</definedName>
    <definedName name="item12.6" localSheetId="11">#REF!</definedName>
    <definedName name="item12.6">#REF!</definedName>
    <definedName name="item12.7" localSheetId="13">#REF!</definedName>
    <definedName name="item12.7" localSheetId="14">#REF!</definedName>
    <definedName name="item12.7" localSheetId="15">#REF!</definedName>
    <definedName name="item12.7" localSheetId="16">#REF!</definedName>
    <definedName name="item12.7" localSheetId="17">#REF!</definedName>
    <definedName name="item12.7" localSheetId="18">#REF!</definedName>
    <definedName name="item12.7" localSheetId="20">#REF!</definedName>
    <definedName name="item12.7" localSheetId="21">#REF!</definedName>
    <definedName name="item12.7" localSheetId="3">#REF!</definedName>
    <definedName name="item12.7" localSheetId="11">#REF!</definedName>
    <definedName name="item12.7">#REF!</definedName>
    <definedName name="item12.8" localSheetId="13">#REF!</definedName>
    <definedName name="item12.8" localSheetId="14">#REF!</definedName>
    <definedName name="item12.8" localSheetId="15">#REF!</definedName>
    <definedName name="item12.8" localSheetId="16">#REF!</definedName>
    <definedName name="item12.8" localSheetId="17">#REF!</definedName>
    <definedName name="item12.8" localSheetId="18">#REF!</definedName>
    <definedName name="item12.8" localSheetId="20">#REF!</definedName>
    <definedName name="item12.8" localSheetId="21">#REF!</definedName>
    <definedName name="item12.8" localSheetId="3">#REF!</definedName>
    <definedName name="item12.8" localSheetId="11">#REF!</definedName>
    <definedName name="item12.8">#REF!</definedName>
    <definedName name="item12.9" localSheetId="13">#REF!</definedName>
    <definedName name="item12.9" localSheetId="14">#REF!</definedName>
    <definedName name="item12.9" localSheetId="15">#REF!</definedName>
    <definedName name="item12.9" localSheetId="16">#REF!</definedName>
    <definedName name="item12.9" localSheetId="17">#REF!</definedName>
    <definedName name="item12.9" localSheetId="18">#REF!</definedName>
    <definedName name="item12.9" localSheetId="20">#REF!</definedName>
    <definedName name="item12.9" localSheetId="21">#REF!</definedName>
    <definedName name="item12.9" localSheetId="3">#REF!</definedName>
    <definedName name="item12.9" localSheetId="11">#REF!</definedName>
    <definedName name="item12.9">#REF!</definedName>
    <definedName name="item13.1" localSheetId="13">#REF!</definedName>
    <definedName name="item13.1" localSheetId="14">#REF!</definedName>
    <definedName name="item13.1" localSheetId="15">#REF!</definedName>
    <definedName name="item13.1" localSheetId="16">#REF!</definedName>
    <definedName name="item13.1" localSheetId="17">#REF!</definedName>
    <definedName name="item13.1" localSheetId="18">#REF!</definedName>
    <definedName name="item13.1" localSheetId="20">#REF!</definedName>
    <definedName name="item13.1" localSheetId="21">#REF!</definedName>
    <definedName name="item13.1" localSheetId="3">#REF!</definedName>
    <definedName name="item13.1" localSheetId="11">#REF!</definedName>
    <definedName name="item13.1">#REF!</definedName>
    <definedName name="item13.10" localSheetId="13">#REF!</definedName>
    <definedName name="item13.10" localSheetId="14">#REF!</definedName>
    <definedName name="item13.10" localSheetId="15">#REF!</definedName>
    <definedName name="item13.10" localSheetId="16">#REF!</definedName>
    <definedName name="item13.10" localSheetId="17">#REF!</definedName>
    <definedName name="item13.10" localSheetId="18">#REF!</definedName>
    <definedName name="item13.10" localSheetId="20">#REF!</definedName>
    <definedName name="item13.10" localSheetId="21">#REF!</definedName>
    <definedName name="item13.10" localSheetId="3">#REF!</definedName>
    <definedName name="item13.10" localSheetId="11">#REF!</definedName>
    <definedName name="item13.10">#REF!</definedName>
    <definedName name="item13.11" localSheetId="13">#REF!</definedName>
    <definedName name="item13.11" localSheetId="14">#REF!</definedName>
    <definedName name="item13.11" localSheetId="15">#REF!</definedName>
    <definedName name="item13.11" localSheetId="16">#REF!</definedName>
    <definedName name="item13.11" localSheetId="17">#REF!</definedName>
    <definedName name="item13.11" localSheetId="18">#REF!</definedName>
    <definedName name="item13.11" localSheetId="20">#REF!</definedName>
    <definedName name="item13.11" localSheetId="21">#REF!</definedName>
    <definedName name="item13.11" localSheetId="3">#REF!</definedName>
    <definedName name="item13.11" localSheetId="11">#REF!</definedName>
    <definedName name="item13.11">#REF!</definedName>
    <definedName name="item13.12" localSheetId="13">#REF!</definedName>
    <definedName name="item13.12" localSheetId="14">#REF!</definedName>
    <definedName name="item13.12" localSheetId="15">#REF!</definedName>
    <definedName name="item13.12" localSheetId="16">#REF!</definedName>
    <definedName name="item13.12" localSheetId="17">#REF!</definedName>
    <definedName name="item13.12" localSheetId="18">#REF!</definedName>
    <definedName name="item13.12" localSheetId="20">#REF!</definedName>
    <definedName name="item13.12" localSheetId="21">#REF!</definedName>
    <definedName name="item13.12" localSheetId="3">#REF!</definedName>
    <definedName name="item13.12" localSheetId="11">#REF!</definedName>
    <definedName name="item13.12">#REF!</definedName>
    <definedName name="item13.13" localSheetId="13">#REF!</definedName>
    <definedName name="item13.13" localSheetId="14">#REF!</definedName>
    <definedName name="item13.13" localSheetId="15">#REF!</definedName>
    <definedName name="item13.13" localSheetId="16">#REF!</definedName>
    <definedName name="item13.13" localSheetId="17">#REF!</definedName>
    <definedName name="item13.13" localSheetId="18">#REF!</definedName>
    <definedName name="item13.13" localSheetId="20">#REF!</definedName>
    <definedName name="item13.13" localSheetId="21">#REF!</definedName>
    <definedName name="item13.13" localSheetId="3">#REF!</definedName>
    <definedName name="item13.13" localSheetId="11">#REF!</definedName>
    <definedName name="item13.13">#REF!</definedName>
    <definedName name="item13.2" localSheetId="13">#REF!</definedName>
    <definedName name="item13.2" localSheetId="14">#REF!</definedName>
    <definedName name="item13.2" localSheetId="15">#REF!</definedName>
    <definedName name="item13.2" localSheetId="16">#REF!</definedName>
    <definedName name="item13.2" localSheetId="17">#REF!</definedName>
    <definedName name="item13.2" localSheetId="18">#REF!</definedName>
    <definedName name="item13.2" localSheetId="20">#REF!</definedName>
    <definedName name="item13.2" localSheetId="21">#REF!</definedName>
    <definedName name="item13.2" localSheetId="3">#REF!</definedName>
    <definedName name="item13.2" localSheetId="11">#REF!</definedName>
    <definedName name="item13.2">#REF!</definedName>
    <definedName name="item13.3" localSheetId="13">#REF!</definedName>
    <definedName name="item13.3" localSheetId="14">#REF!</definedName>
    <definedName name="item13.3" localSheetId="15">#REF!</definedName>
    <definedName name="item13.3" localSheetId="16">#REF!</definedName>
    <definedName name="item13.3" localSheetId="17">#REF!</definedName>
    <definedName name="item13.3" localSheetId="18">#REF!</definedName>
    <definedName name="item13.3" localSheetId="20">#REF!</definedName>
    <definedName name="item13.3" localSheetId="21">#REF!</definedName>
    <definedName name="item13.3" localSheetId="3">#REF!</definedName>
    <definedName name="item13.3" localSheetId="11">#REF!</definedName>
    <definedName name="item13.3">#REF!</definedName>
    <definedName name="item13.4" localSheetId="13">#REF!</definedName>
    <definedName name="item13.4" localSheetId="14">#REF!</definedName>
    <definedName name="item13.4" localSheetId="15">#REF!</definedName>
    <definedName name="item13.4" localSheetId="16">#REF!</definedName>
    <definedName name="item13.4" localSheetId="17">#REF!</definedName>
    <definedName name="item13.4" localSheetId="18">#REF!</definedName>
    <definedName name="item13.4" localSheetId="20">#REF!</definedName>
    <definedName name="item13.4" localSheetId="21">#REF!</definedName>
    <definedName name="item13.4" localSheetId="3">#REF!</definedName>
    <definedName name="item13.4" localSheetId="11">#REF!</definedName>
    <definedName name="item13.4">#REF!</definedName>
    <definedName name="item13.5" localSheetId="13">#REF!</definedName>
    <definedName name="item13.5" localSheetId="14">#REF!</definedName>
    <definedName name="item13.5" localSheetId="15">#REF!</definedName>
    <definedName name="item13.5" localSheetId="16">#REF!</definedName>
    <definedName name="item13.5" localSheetId="17">#REF!</definedName>
    <definedName name="item13.5" localSheetId="18">#REF!</definedName>
    <definedName name="item13.5" localSheetId="20">#REF!</definedName>
    <definedName name="item13.5" localSheetId="21">#REF!</definedName>
    <definedName name="item13.5" localSheetId="3">#REF!</definedName>
    <definedName name="item13.5" localSheetId="11">#REF!</definedName>
    <definedName name="item13.5">#REF!</definedName>
    <definedName name="item13.6" localSheetId="13">#REF!</definedName>
    <definedName name="item13.6" localSheetId="14">#REF!</definedName>
    <definedName name="item13.6" localSheetId="15">#REF!</definedName>
    <definedName name="item13.6" localSheetId="16">#REF!</definedName>
    <definedName name="item13.6" localSheetId="17">#REF!</definedName>
    <definedName name="item13.6" localSheetId="18">#REF!</definedName>
    <definedName name="item13.6" localSheetId="20">#REF!</definedName>
    <definedName name="item13.6" localSheetId="21">#REF!</definedName>
    <definedName name="item13.6" localSheetId="3">#REF!</definedName>
    <definedName name="item13.6" localSheetId="11">#REF!</definedName>
    <definedName name="item13.6">#REF!</definedName>
    <definedName name="item13.7" localSheetId="13">#REF!</definedName>
    <definedName name="item13.7" localSheetId="14">#REF!</definedName>
    <definedName name="item13.7" localSheetId="15">#REF!</definedName>
    <definedName name="item13.7" localSheetId="16">#REF!</definedName>
    <definedName name="item13.7" localSheetId="17">#REF!</definedName>
    <definedName name="item13.7" localSheetId="18">#REF!</definedName>
    <definedName name="item13.7" localSheetId="20">#REF!</definedName>
    <definedName name="item13.7" localSheetId="21">#REF!</definedName>
    <definedName name="item13.7" localSheetId="3">#REF!</definedName>
    <definedName name="item13.7" localSheetId="11">#REF!</definedName>
    <definedName name="item13.7">#REF!</definedName>
    <definedName name="item13.8" localSheetId="13">#REF!</definedName>
    <definedName name="item13.8" localSheetId="14">#REF!</definedName>
    <definedName name="item13.8" localSheetId="15">#REF!</definedName>
    <definedName name="item13.8" localSheetId="16">#REF!</definedName>
    <definedName name="item13.8" localSheetId="17">#REF!</definedName>
    <definedName name="item13.8" localSheetId="18">#REF!</definedName>
    <definedName name="item13.8" localSheetId="20">#REF!</definedName>
    <definedName name="item13.8" localSheetId="21">#REF!</definedName>
    <definedName name="item13.8" localSheetId="3">#REF!</definedName>
    <definedName name="item13.8" localSheetId="11">#REF!</definedName>
    <definedName name="item13.8">#REF!</definedName>
    <definedName name="item13.9" localSheetId="13">#REF!</definedName>
    <definedName name="item13.9" localSheetId="14">#REF!</definedName>
    <definedName name="item13.9" localSheetId="15">#REF!</definedName>
    <definedName name="item13.9" localSheetId="16">#REF!</definedName>
    <definedName name="item13.9" localSheetId="17">#REF!</definedName>
    <definedName name="item13.9" localSheetId="18">#REF!</definedName>
    <definedName name="item13.9" localSheetId="20">#REF!</definedName>
    <definedName name="item13.9" localSheetId="21">#REF!</definedName>
    <definedName name="item13.9" localSheetId="3">#REF!</definedName>
    <definedName name="item13.9" localSheetId="11">#REF!</definedName>
    <definedName name="item13.9">#REF!</definedName>
    <definedName name="item14.1" localSheetId="13">#REF!</definedName>
    <definedName name="item14.1" localSheetId="14">#REF!</definedName>
    <definedName name="item14.1" localSheetId="15">#REF!</definedName>
    <definedName name="item14.1" localSheetId="16">#REF!</definedName>
    <definedName name="item14.1" localSheetId="17">#REF!</definedName>
    <definedName name="item14.1" localSheetId="18">#REF!</definedName>
    <definedName name="item14.1" localSheetId="20">#REF!</definedName>
    <definedName name="item14.1" localSheetId="21">#REF!</definedName>
    <definedName name="item14.1" localSheetId="3">#REF!</definedName>
    <definedName name="item14.1" localSheetId="11">#REF!</definedName>
    <definedName name="item14.1">#REF!</definedName>
    <definedName name="item14.2" localSheetId="13">#REF!</definedName>
    <definedName name="item14.2" localSheetId="14">#REF!</definedName>
    <definedName name="item14.2" localSheetId="15">#REF!</definedName>
    <definedName name="item14.2" localSheetId="16">#REF!</definedName>
    <definedName name="item14.2" localSheetId="17">#REF!</definedName>
    <definedName name="item14.2" localSheetId="18">#REF!</definedName>
    <definedName name="item14.2" localSheetId="20">#REF!</definedName>
    <definedName name="item14.2" localSheetId="21">#REF!</definedName>
    <definedName name="item14.2" localSheetId="3">#REF!</definedName>
    <definedName name="item14.2" localSheetId="11">#REF!</definedName>
    <definedName name="item14.2">#REF!</definedName>
    <definedName name="item14.3" localSheetId="13">#REF!</definedName>
    <definedName name="item14.3" localSheetId="14">#REF!</definedName>
    <definedName name="item14.3" localSheetId="15">#REF!</definedName>
    <definedName name="item14.3" localSheetId="16">#REF!</definedName>
    <definedName name="item14.3" localSheetId="17">#REF!</definedName>
    <definedName name="item14.3" localSheetId="18">#REF!</definedName>
    <definedName name="item14.3" localSheetId="20">#REF!</definedName>
    <definedName name="item14.3" localSheetId="21">#REF!</definedName>
    <definedName name="item14.3" localSheetId="3">#REF!</definedName>
    <definedName name="item14.3" localSheetId="11">#REF!</definedName>
    <definedName name="item14.3">#REF!</definedName>
    <definedName name="item14.4" localSheetId="13">#REF!</definedName>
    <definedName name="item14.4" localSheetId="14">#REF!</definedName>
    <definedName name="item14.4" localSheetId="15">#REF!</definedName>
    <definedName name="item14.4" localSheetId="16">#REF!</definedName>
    <definedName name="item14.4" localSheetId="17">#REF!</definedName>
    <definedName name="item14.4" localSheetId="18">#REF!</definedName>
    <definedName name="item14.4" localSheetId="20">#REF!</definedName>
    <definedName name="item14.4" localSheetId="21">#REF!</definedName>
    <definedName name="item14.4" localSheetId="3">#REF!</definedName>
    <definedName name="item14.4" localSheetId="11">#REF!</definedName>
    <definedName name="item14.4">#REF!</definedName>
    <definedName name="item14.5" localSheetId="13">#REF!</definedName>
    <definedName name="item14.5" localSheetId="14">#REF!</definedName>
    <definedName name="item14.5" localSheetId="15">#REF!</definedName>
    <definedName name="item14.5" localSheetId="16">#REF!</definedName>
    <definedName name="item14.5" localSheetId="17">#REF!</definedName>
    <definedName name="item14.5" localSheetId="18">#REF!</definedName>
    <definedName name="item14.5" localSheetId="20">#REF!</definedName>
    <definedName name="item14.5" localSheetId="21">#REF!</definedName>
    <definedName name="item14.5" localSheetId="3">#REF!</definedName>
    <definedName name="item14.5" localSheetId="11">#REF!</definedName>
    <definedName name="item14.5">#REF!</definedName>
    <definedName name="item14.6" localSheetId="13">#REF!</definedName>
    <definedName name="item14.6" localSheetId="14">#REF!</definedName>
    <definedName name="item14.6" localSheetId="15">#REF!</definedName>
    <definedName name="item14.6" localSheetId="16">#REF!</definedName>
    <definedName name="item14.6" localSheetId="17">#REF!</definedName>
    <definedName name="item14.6" localSheetId="18">#REF!</definedName>
    <definedName name="item14.6" localSheetId="20">#REF!</definedName>
    <definedName name="item14.6" localSheetId="21">#REF!</definedName>
    <definedName name="item14.6" localSheetId="3">#REF!</definedName>
    <definedName name="item14.6" localSheetId="11">#REF!</definedName>
    <definedName name="item14.6">#REF!</definedName>
    <definedName name="item15.1" localSheetId="13">#REF!</definedName>
    <definedName name="item15.1" localSheetId="14">#REF!</definedName>
    <definedName name="item15.1" localSheetId="15">#REF!</definedName>
    <definedName name="item15.1" localSheetId="16">#REF!</definedName>
    <definedName name="item15.1" localSheetId="17">#REF!</definedName>
    <definedName name="item15.1" localSheetId="18">#REF!</definedName>
    <definedName name="item15.1" localSheetId="20">#REF!</definedName>
    <definedName name="item15.1" localSheetId="21">#REF!</definedName>
    <definedName name="item15.1" localSheetId="3">#REF!</definedName>
    <definedName name="item15.1" localSheetId="11">#REF!</definedName>
    <definedName name="item15.1">#REF!</definedName>
    <definedName name="item15.10" localSheetId="13">#REF!</definedName>
    <definedName name="item15.10" localSheetId="14">#REF!</definedName>
    <definedName name="item15.10" localSheetId="15">#REF!</definedName>
    <definedName name="item15.10" localSheetId="16">#REF!</definedName>
    <definedName name="item15.10" localSheetId="17">#REF!</definedName>
    <definedName name="item15.10" localSheetId="18">#REF!</definedName>
    <definedName name="item15.10" localSheetId="20">#REF!</definedName>
    <definedName name="item15.10" localSheetId="21">#REF!</definedName>
    <definedName name="item15.10" localSheetId="3">#REF!</definedName>
    <definedName name="item15.10" localSheetId="11">#REF!</definedName>
    <definedName name="item15.10">#REF!</definedName>
    <definedName name="item15.11" localSheetId="13">#REF!</definedName>
    <definedName name="item15.11" localSheetId="14">#REF!</definedName>
    <definedName name="item15.11" localSheetId="15">#REF!</definedName>
    <definedName name="item15.11" localSheetId="16">#REF!</definedName>
    <definedName name="item15.11" localSheetId="17">#REF!</definedName>
    <definedName name="item15.11" localSheetId="18">#REF!</definedName>
    <definedName name="item15.11" localSheetId="20">#REF!</definedName>
    <definedName name="item15.11" localSheetId="21">#REF!</definedName>
    <definedName name="item15.11" localSheetId="3">#REF!</definedName>
    <definedName name="item15.11" localSheetId="11">#REF!</definedName>
    <definedName name="item15.11">#REF!</definedName>
    <definedName name="item15.12" localSheetId="13">#REF!</definedName>
    <definedName name="item15.12" localSheetId="14">#REF!</definedName>
    <definedName name="item15.12" localSheetId="15">#REF!</definedName>
    <definedName name="item15.12" localSheetId="16">#REF!</definedName>
    <definedName name="item15.12" localSheetId="17">#REF!</definedName>
    <definedName name="item15.12" localSheetId="18">#REF!</definedName>
    <definedName name="item15.12" localSheetId="20">#REF!</definedName>
    <definedName name="item15.12" localSheetId="21">#REF!</definedName>
    <definedName name="item15.12" localSheetId="3">#REF!</definedName>
    <definedName name="item15.12" localSheetId="11">#REF!</definedName>
    <definedName name="item15.12">#REF!</definedName>
    <definedName name="item15.13" localSheetId="13">#REF!</definedName>
    <definedName name="item15.13" localSheetId="14">#REF!</definedName>
    <definedName name="item15.13" localSheetId="15">#REF!</definedName>
    <definedName name="item15.13" localSheetId="16">#REF!</definedName>
    <definedName name="item15.13" localSheetId="17">#REF!</definedName>
    <definedName name="item15.13" localSheetId="18">#REF!</definedName>
    <definedName name="item15.13" localSheetId="20">#REF!</definedName>
    <definedName name="item15.13" localSheetId="21">#REF!</definedName>
    <definedName name="item15.13" localSheetId="3">#REF!</definedName>
    <definedName name="item15.13" localSheetId="11">#REF!</definedName>
    <definedName name="item15.13">#REF!</definedName>
    <definedName name="item15.2" localSheetId="13">#REF!</definedName>
    <definedName name="item15.2" localSheetId="14">#REF!</definedName>
    <definedName name="item15.2" localSheetId="15">#REF!</definedName>
    <definedName name="item15.2" localSheetId="16">#REF!</definedName>
    <definedName name="item15.2" localSheetId="17">#REF!</definedName>
    <definedName name="item15.2" localSheetId="18">#REF!</definedName>
    <definedName name="item15.2" localSheetId="20">#REF!</definedName>
    <definedName name="item15.2" localSheetId="21">#REF!</definedName>
    <definedName name="item15.2" localSheetId="3">#REF!</definedName>
    <definedName name="item15.2" localSheetId="11">#REF!</definedName>
    <definedName name="item15.2">#REF!</definedName>
    <definedName name="item15.3" localSheetId="13">#REF!</definedName>
    <definedName name="item15.3" localSheetId="14">#REF!</definedName>
    <definedName name="item15.3" localSheetId="15">#REF!</definedName>
    <definedName name="item15.3" localSheetId="16">#REF!</definedName>
    <definedName name="item15.3" localSheetId="17">#REF!</definedName>
    <definedName name="item15.3" localSheetId="18">#REF!</definedName>
    <definedName name="item15.3" localSheetId="20">#REF!</definedName>
    <definedName name="item15.3" localSheetId="21">#REF!</definedName>
    <definedName name="item15.3" localSheetId="3">#REF!</definedName>
    <definedName name="item15.3" localSheetId="11">#REF!</definedName>
    <definedName name="item15.3">#REF!</definedName>
    <definedName name="item15.4" localSheetId="13">#REF!</definedName>
    <definedName name="item15.4" localSheetId="14">#REF!</definedName>
    <definedName name="item15.4" localSheetId="15">#REF!</definedName>
    <definedName name="item15.4" localSheetId="16">#REF!</definedName>
    <definedName name="item15.4" localSheetId="17">#REF!</definedName>
    <definedName name="item15.4" localSheetId="18">#REF!</definedName>
    <definedName name="item15.4" localSheetId="20">#REF!</definedName>
    <definedName name="item15.4" localSheetId="21">#REF!</definedName>
    <definedName name="item15.4" localSheetId="3">#REF!</definedName>
    <definedName name="item15.4" localSheetId="11">#REF!</definedName>
    <definedName name="item15.4">#REF!</definedName>
    <definedName name="item15.5" localSheetId="13">#REF!</definedName>
    <definedName name="item15.5" localSheetId="14">#REF!</definedName>
    <definedName name="item15.5" localSheetId="15">#REF!</definedName>
    <definedName name="item15.5" localSheetId="16">#REF!</definedName>
    <definedName name="item15.5" localSheetId="17">#REF!</definedName>
    <definedName name="item15.5" localSheetId="18">#REF!</definedName>
    <definedName name="item15.5" localSheetId="20">#REF!</definedName>
    <definedName name="item15.5" localSheetId="21">#REF!</definedName>
    <definedName name="item15.5" localSheetId="3">#REF!</definedName>
    <definedName name="item15.5" localSheetId="11">#REF!</definedName>
    <definedName name="item15.5">#REF!</definedName>
    <definedName name="item15.6" localSheetId="13">#REF!</definedName>
    <definedName name="item15.6" localSheetId="14">#REF!</definedName>
    <definedName name="item15.6" localSheetId="15">#REF!</definedName>
    <definedName name="item15.6" localSheetId="16">#REF!</definedName>
    <definedName name="item15.6" localSheetId="17">#REF!</definedName>
    <definedName name="item15.6" localSheetId="18">#REF!</definedName>
    <definedName name="item15.6" localSheetId="20">#REF!</definedName>
    <definedName name="item15.6" localSheetId="21">#REF!</definedName>
    <definedName name="item15.6" localSheetId="3">#REF!</definedName>
    <definedName name="item15.6" localSheetId="11">#REF!</definedName>
    <definedName name="item15.6">#REF!</definedName>
    <definedName name="item15.7" localSheetId="13">#REF!</definedName>
    <definedName name="item15.7" localSheetId="14">#REF!</definedName>
    <definedName name="item15.7" localSheetId="15">#REF!</definedName>
    <definedName name="item15.7" localSheetId="16">#REF!</definedName>
    <definedName name="item15.7" localSheetId="17">#REF!</definedName>
    <definedName name="item15.7" localSheetId="18">#REF!</definedName>
    <definedName name="item15.7" localSheetId="20">#REF!</definedName>
    <definedName name="item15.7" localSheetId="21">#REF!</definedName>
    <definedName name="item15.7" localSheetId="3">#REF!</definedName>
    <definedName name="item15.7" localSheetId="11">#REF!</definedName>
    <definedName name="item15.7">#REF!</definedName>
    <definedName name="item15.8" localSheetId="13">#REF!</definedName>
    <definedName name="item15.8" localSheetId="14">#REF!</definedName>
    <definedName name="item15.8" localSheetId="15">#REF!</definedName>
    <definedName name="item15.8" localSheetId="16">#REF!</definedName>
    <definedName name="item15.8" localSheetId="17">#REF!</definedName>
    <definedName name="item15.8" localSheetId="18">#REF!</definedName>
    <definedName name="item15.8" localSheetId="20">#REF!</definedName>
    <definedName name="item15.8" localSheetId="21">#REF!</definedName>
    <definedName name="item15.8" localSheetId="3">#REF!</definedName>
    <definedName name="item15.8" localSheetId="11">#REF!</definedName>
    <definedName name="item15.8">#REF!</definedName>
    <definedName name="item15.9" localSheetId="13">#REF!</definedName>
    <definedName name="item15.9" localSheetId="14">#REF!</definedName>
    <definedName name="item15.9" localSheetId="15">#REF!</definedName>
    <definedName name="item15.9" localSheetId="16">#REF!</definedName>
    <definedName name="item15.9" localSheetId="17">#REF!</definedName>
    <definedName name="item15.9" localSheetId="18">#REF!</definedName>
    <definedName name="item15.9" localSheetId="20">#REF!</definedName>
    <definedName name="item15.9" localSheetId="21">#REF!</definedName>
    <definedName name="item15.9" localSheetId="3">#REF!</definedName>
    <definedName name="item15.9" localSheetId="11">#REF!</definedName>
    <definedName name="item15.9">#REF!</definedName>
    <definedName name="item2.1" localSheetId="13">#REF!</definedName>
    <definedName name="item2.1" localSheetId="14">#REF!</definedName>
    <definedName name="item2.1" localSheetId="15">#REF!</definedName>
    <definedName name="item2.1" localSheetId="16">#REF!</definedName>
    <definedName name="item2.1" localSheetId="17">#REF!</definedName>
    <definedName name="item2.1" localSheetId="18">#REF!</definedName>
    <definedName name="item2.1" localSheetId="20">#REF!</definedName>
    <definedName name="item2.1" localSheetId="21">#REF!</definedName>
    <definedName name="item2.1" localSheetId="3">#REF!</definedName>
    <definedName name="item2.1" localSheetId="11">#REF!</definedName>
    <definedName name="item2.1">#REF!</definedName>
    <definedName name="item2.10" localSheetId="13">#REF!</definedName>
    <definedName name="item2.10" localSheetId="14">#REF!</definedName>
    <definedName name="item2.10" localSheetId="15">#REF!</definedName>
    <definedName name="item2.10" localSheetId="16">#REF!</definedName>
    <definedName name="item2.10" localSheetId="17">#REF!</definedName>
    <definedName name="item2.10" localSheetId="18">#REF!</definedName>
    <definedName name="item2.10" localSheetId="20">#REF!</definedName>
    <definedName name="item2.10" localSheetId="21">#REF!</definedName>
    <definedName name="item2.10" localSheetId="3">#REF!</definedName>
    <definedName name="item2.10" localSheetId="11">#REF!</definedName>
    <definedName name="item2.10">#REF!</definedName>
    <definedName name="item2.11" localSheetId="13">#REF!</definedName>
    <definedName name="item2.11" localSheetId="14">#REF!</definedName>
    <definedName name="item2.11" localSheetId="15">#REF!</definedName>
    <definedName name="item2.11" localSheetId="16">#REF!</definedName>
    <definedName name="item2.11" localSheetId="17">#REF!</definedName>
    <definedName name="item2.11" localSheetId="18">#REF!</definedName>
    <definedName name="item2.11" localSheetId="20">#REF!</definedName>
    <definedName name="item2.11" localSheetId="21">#REF!</definedName>
    <definedName name="item2.11" localSheetId="3">#REF!</definedName>
    <definedName name="item2.11" localSheetId="11">#REF!</definedName>
    <definedName name="item2.11">#REF!</definedName>
    <definedName name="item2.12" localSheetId="13">#REF!</definedName>
    <definedName name="item2.12" localSheetId="14">#REF!</definedName>
    <definedName name="item2.12" localSheetId="15">#REF!</definedName>
    <definedName name="item2.12" localSheetId="16">#REF!</definedName>
    <definedName name="item2.12" localSheetId="17">#REF!</definedName>
    <definedName name="item2.12" localSheetId="18">#REF!</definedName>
    <definedName name="item2.12" localSheetId="20">#REF!</definedName>
    <definedName name="item2.12" localSheetId="21">#REF!</definedName>
    <definedName name="item2.12" localSheetId="3">#REF!</definedName>
    <definedName name="item2.12" localSheetId="11">#REF!</definedName>
    <definedName name="item2.12">#REF!</definedName>
    <definedName name="item2.13" localSheetId="13">#REF!</definedName>
    <definedName name="item2.13" localSheetId="14">#REF!</definedName>
    <definedName name="item2.13" localSheetId="15">#REF!</definedName>
    <definedName name="item2.13" localSheetId="16">#REF!</definedName>
    <definedName name="item2.13" localSheetId="17">#REF!</definedName>
    <definedName name="item2.13" localSheetId="18">#REF!</definedName>
    <definedName name="item2.13" localSheetId="20">#REF!</definedName>
    <definedName name="item2.13" localSheetId="21">#REF!</definedName>
    <definedName name="item2.13" localSheetId="3">#REF!</definedName>
    <definedName name="item2.13" localSheetId="11">#REF!</definedName>
    <definedName name="item2.13">#REF!</definedName>
    <definedName name="item2.14" localSheetId="13">#REF!</definedName>
    <definedName name="item2.14" localSheetId="14">#REF!</definedName>
    <definedName name="item2.14" localSheetId="15">#REF!</definedName>
    <definedName name="item2.14" localSheetId="16">#REF!</definedName>
    <definedName name="item2.14" localSheetId="17">#REF!</definedName>
    <definedName name="item2.14" localSheetId="18">#REF!</definedName>
    <definedName name="item2.14" localSheetId="20">#REF!</definedName>
    <definedName name="item2.14" localSheetId="21">#REF!</definedName>
    <definedName name="item2.14" localSheetId="3">#REF!</definedName>
    <definedName name="item2.14" localSheetId="11">#REF!</definedName>
    <definedName name="item2.14">#REF!</definedName>
    <definedName name="item2.15" localSheetId="13">#REF!</definedName>
    <definedName name="item2.15" localSheetId="14">#REF!</definedName>
    <definedName name="item2.15" localSheetId="15">#REF!</definedName>
    <definedName name="item2.15" localSheetId="16">#REF!</definedName>
    <definedName name="item2.15" localSheetId="17">#REF!</definedName>
    <definedName name="item2.15" localSheetId="18">#REF!</definedName>
    <definedName name="item2.15" localSheetId="20">#REF!</definedName>
    <definedName name="item2.15" localSheetId="21">#REF!</definedName>
    <definedName name="item2.15" localSheetId="3">#REF!</definedName>
    <definedName name="item2.15" localSheetId="11">#REF!</definedName>
    <definedName name="item2.15">#REF!</definedName>
    <definedName name="item2.16" localSheetId="13">#REF!</definedName>
    <definedName name="item2.16" localSheetId="14">#REF!</definedName>
    <definedName name="item2.16" localSheetId="15">#REF!</definedName>
    <definedName name="item2.16" localSheetId="16">#REF!</definedName>
    <definedName name="item2.16" localSheetId="17">#REF!</definedName>
    <definedName name="item2.16" localSheetId="18">#REF!</definedName>
    <definedName name="item2.16" localSheetId="20">#REF!</definedName>
    <definedName name="item2.16" localSheetId="21">#REF!</definedName>
    <definedName name="item2.16" localSheetId="3">#REF!</definedName>
    <definedName name="item2.16" localSheetId="11">#REF!</definedName>
    <definedName name="item2.16">#REF!</definedName>
    <definedName name="item2.17" localSheetId="13">#REF!</definedName>
    <definedName name="item2.17" localSheetId="14">#REF!</definedName>
    <definedName name="item2.17" localSheetId="15">#REF!</definedName>
    <definedName name="item2.17" localSheetId="16">#REF!</definedName>
    <definedName name="item2.17" localSheetId="17">#REF!</definedName>
    <definedName name="item2.17" localSheetId="18">#REF!</definedName>
    <definedName name="item2.17" localSheetId="20">#REF!</definedName>
    <definedName name="item2.17" localSheetId="21">#REF!</definedName>
    <definedName name="item2.17" localSheetId="3">#REF!</definedName>
    <definedName name="item2.17" localSheetId="11">#REF!</definedName>
    <definedName name="item2.17">#REF!</definedName>
    <definedName name="item2.18" localSheetId="13">#REF!</definedName>
    <definedName name="item2.18" localSheetId="14">#REF!</definedName>
    <definedName name="item2.18" localSheetId="15">#REF!</definedName>
    <definedName name="item2.18" localSheetId="16">#REF!</definedName>
    <definedName name="item2.18" localSheetId="17">#REF!</definedName>
    <definedName name="item2.18" localSheetId="18">#REF!</definedName>
    <definedName name="item2.18" localSheetId="20">#REF!</definedName>
    <definedName name="item2.18" localSheetId="21">#REF!</definedName>
    <definedName name="item2.18" localSheetId="3">#REF!</definedName>
    <definedName name="item2.18" localSheetId="11">#REF!</definedName>
    <definedName name="item2.18">#REF!</definedName>
    <definedName name="item2.19" localSheetId="13">#REF!</definedName>
    <definedName name="item2.19" localSheetId="14">#REF!</definedName>
    <definedName name="item2.19" localSheetId="15">#REF!</definedName>
    <definedName name="item2.19" localSheetId="16">#REF!</definedName>
    <definedName name="item2.19" localSheetId="17">#REF!</definedName>
    <definedName name="item2.19" localSheetId="18">#REF!</definedName>
    <definedName name="item2.19" localSheetId="20">#REF!</definedName>
    <definedName name="item2.19" localSheetId="21">#REF!</definedName>
    <definedName name="item2.19" localSheetId="3">#REF!</definedName>
    <definedName name="item2.19" localSheetId="11">#REF!</definedName>
    <definedName name="item2.19">#REF!</definedName>
    <definedName name="item2.2" localSheetId="13">#REF!</definedName>
    <definedName name="item2.2" localSheetId="14">#REF!</definedName>
    <definedName name="item2.2" localSheetId="15">#REF!</definedName>
    <definedName name="item2.2" localSheetId="16">#REF!</definedName>
    <definedName name="item2.2" localSheetId="17">#REF!</definedName>
    <definedName name="item2.2" localSheetId="18">#REF!</definedName>
    <definedName name="item2.2" localSheetId="20">#REF!</definedName>
    <definedName name="item2.2" localSheetId="21">#REF!</definedName>
    <definedName name="item2.2" localSheetId="3">#REF!</definedName>
    <definedName name="item2.2" localSheetId="11">#REF!</definedName>
    <definedName name="item2.2">#REF!</definedName>
    <definedName name="item2.20" localSheetId="13">#REF!</definedName>
    <definedName name="item2.20" localSheetId="14">#REF!</definedName>
    <definedName name="item2.20" localSheetId="15">#REF!</definedName>
    <definedName name="item2.20" localSheetId="16">#REF!</definedName>
    <definedName name="item2.20" localSheetId="17">#REF!</definedName>
    <definedName name="item2.20" localSheetId="18">#REF!</definedName>
    <definedName name="item2.20" localSheetId="20">#REF!</definedName>
    <definedName name="item2.20" localSheetId="21">#REF!</definedName>
    <definedName name="item2.20" localSheetId="3">#REF!</definedName>
    <definedName name="item2.20" localSheetId="11">#REF!</definedName>
    <definedName name="item2.20">#REF!</definedName>
    <definedName name="item2.21" localSheetId="13">#REF!</definedName>
    <definedName name="item2.21" localSheetId="14">#REF!</definedName>
    <definedName name="item2.21" localSheetId="15">#REF!</definedName>
    <definedName name="item2.21" localSheetId="16">#REF!</definedName>
    <definedName name="item2.21" localSheetId="17">#REF!</definedName>
    <definedName name="item2.21" localSheetId="18">#REF!</definedName>
    <definedName name="item2.21" localSheetId="20">#REF!</definedName>
    <definedName name="item2.21" localSheetId="21">#REF!</definedName>
    <definedName name="item2.21" localSheetId="3">#REF!</definedName>
    <definedName name="item2.21" localSheetId="11">#REF!</definedName>
    <definedName name="item2.21">#REF!</definedName>
    <definedName name="item2.22" localSheetId="13">#REF!</definedName>
    <definedName name="item2.22" localSheetId="14">#REF!</definedName>
    <definedName name="item2.22" localSheetId="15">#REF!</definedName>
    <definedName name="item2.22" localSheetId="16">#REF!</definedName>
    <definedName name="item2.22" localSheetId="17">#REF!</definedName>
    <definedName name="item2.22" localSheetId="18">#REF!</definedName>
    <definedName name="item2.22" localSheetId="20">#REF!</definedName>
    <definedName name="item2.22" localSheetId="21">#REF!</definedName>
    <definedName name="item2.22" localSheetId="3">#REF!</definedName>
    <definedName name="item2.22" localSheetId="11">#REF!</definedName>
    <definedName name="item2.22">#REF!</definedName>
    <definedName name="item2.23" localSheetId="13">#REF!</definedName>
    <definedName name="item2.23" localSheetId="14">#REF!</definedName>
    <definedName name="item2.23" localSheetId="15">#REF!</definedName>
    <definedName name="item2.23" localSheetId="16">#REF!</definedName>
    <definedName name="item2.23" localSheetId="17">#REF!</definedName>
    <definedName name="item2.23" localSheetId="18">#REF!</definedName>
    <definedName name="item2.23" localSheetId="20">#REF!</definedName>
    <definedName name="item2.23" localSheetId="21">#REF!</definedName>
    <definedName name="item2.23" localSheetId="3">#REF!</definedName>
    <definedName name="item2.23" localSheetId="11">#REF!</definedName>
    <definedName name="item2.23">#REF!</definedName>
    <definedName name="item2.24" localSheetId="13">#REF!</definedName>
    <definedName name="item2.24" localSheetId="14">#REF!</definedName>
    <definedName name="item2.24" localSheetId="15">#REF!</definedName>
    <definedName name="item2.24" localSheetId="16">#REF!</definedName>
    <definedName name="item2.24" localSheetId="17">#REF!</definedName>
    <definedName name="item2.24" localSheetId="18">#REF!</definedName>
    <definedName name="item2.24" localSheetId="20">#REF!</definedName>
    <definedName name="item2.24" localSheetId="21">#REF!</definedName>
    <definedName name="item2.24" localSheetId="3">#REF!</definedName>
    <definedName name="item2.24" localSheetId="11">#REF!</definedName>
    <definedName name="item2.24">#REF!</definedName>
    <definedName name="item2.25" localSheetId="13">#REF!</definedName>
    <definedName name="item2.25" localSheetId="14">#REF!</definedName>
    <definedName name="item2.25" localSheetId="15">#REF!</definedName>
    <definedName name="item2.25" localSheetId="16">#REF!</definedName>
    <definedName name="item2.25" localSheetId="17">#REF!</definedName>
    <definedName name="item2.25" localSheetId="18">#REF!</definedName>
    <definedName name="item2.25" localSheetId="20">#REF!</definedName>
    <definedName name="item2.25" localSheetId="21">#REF!</definedName>
    <definedName name="item2.25" localSheetId="3">#REF!</definedName>
    <definedName name="item2.25" localSheetId="11">#REF!</definedName>
    <definedName name="item2.25">#REF!</definedName>
    <definedName name="item2.26" localSheetId="13">#REF!</definedName>
    <definedName name="item2.26" localSheetId="14">#REF!</definedName>
    <definedName name="item2.26" localSheetId="15">#REF!</definedName>
    <definedName name="item2.26" localSheetId="16">#REF!</definedName>
    <definedName name="item2.26" localSheetId="17">#REF!</definedName>
    <definedName name="item2.26" localSheetId="18">#REF!</definedName>
    <definedName name="item2.26" localSheetId="20">#REF!</definedName>
    <definedName name="item2.26" localSheetId="21">#REF!</definedName>
    <definedName name="item2.26" localSheetId="3">#REF!</definedName>
    <definedName name="item2.26" localSheetId="11">#REF!</definedName>
    <definedName name="item2.26">#REF!</definedName>
    <definedName name="item2.27" localSheetId="13">#REF!</definedName>
    <definedName name="item2.27" localSheetId="14">#REF!</definedName>
    <definedName name="item2.27" localSheetId="15">#REF!</definedName>
    <definedName name="item2.27" localSheetId="16">#REF!</definedName>
    <definedName name="item2.27" localSheetId="17">#REF!</definedName>
    <definedName name="item2.27" localSheetId="18">#REF!</definedName>
    <definedName name="item2.27" localSheetId="20">#REF!</definedName>
    <definedName name="item2.27" localSheetId="21">#REF!</definedName>
    <definedName name="item2.27" localSheetId="3">#REF!</definedName>
    <definedName name="item2.27" localSheetId="11">#REF!</definedName>
    <definedName name="item2.27">#REF!</definedName>
    <definedName name="item2.3" localSheetId="13">#REF!</definedName>
    <definedName name="item2.3" localSheetId="14">#REF!</definedName>
    <definedName name="item2.3" localSheetId="15">#REF!</definedName>
    <definedName name="item2.3" localSheetId="16">#REF!</definedName>
    <definedName name="item2.3" localSheetId="17">#REF!</definedName>
    <definedName name="item2.3" localSheetId="18">#REF!</definedName>
    <definedName name="item2.3" localSheetId="20">#REF!</definedName>
    <definedName name="item2.3" localSheetId="21">#REF!</definedName>
    <definedName name="item2.3" localSheetId="3">#REF!</definedName>
    <definedName name="item2.3" localSheetId="11">#REF!</definedName>
    <definedName name="item2.3">#REF!</definedName>
    <definedName name="item2.4" localSheetId="13">#REF!</definedName>
    <definedName name="item2.4" localSheetId="14">#REF!</definedName>
    <definedName name="item2.4" localSheetId="15">#REF!</definedName>
    <definedName name="item2.4" localSheetId="16">#REF!</definedName>
    <definedName name="item2.4" localSheetId="17">#REF!</definedName>
    <definedName name="item2.4" localSheetId="18">#REF!</definedName>
    <definedName name="item2.4" localSheetId="20">#REF!</definedName>
    <definedName name="item2.4" localSheetId="21">#REF!</definedName>
    <definedName name="item2.4" localSheetId="3">#REF!</definedName>
    <definedName name="item2.4" localSheetId="11">#REF!</definedName>
    <definedName name="item2.4">#REF!</definedName>
    <definedName name="item2.5" localSheetId="13">#REF!</definedName>
    <definedName name="item2.5" localSheetId="14">#REF!</definedName>
    <definedName name="item2.5" localSheetId="15">#REF!</definedName>
    <definedName name="item2.5" localSheetId="16">#REF!</definedName>
    <definedName name="item2.5" localSheetId="17">#REF!</definedName>
    <definedName name="item2.5" localSheetId="18">#REF!</definedName>
    <definedName name="item2.5" localSheetId="20">#REF!</definedName>
    <definedName name="item2.5" localSheetId="21">#REF!</definedName>
    <definedName name="item2.5" localSheetId="3">#REF!</definedName>
    <definedName name="item2.5" localSheetId="11">#REF!</definedName>
    <definedName name="item2.5">#REF!</definedName>
    <definedName name="item2.6" localSheetId="13">#REF!</definedName>
    <definedName name="item2.6" localSheetId="14">#REF!</definedName>
    <definedName name="item2.6" localSheetId="15">#REF!</definedName>
    <definedName name="item2.6" localSheetId="16">#REF!</definedName>
    <definedName name="item2.6" localSheetId="17">#REF!</definedName>
    <definedName name="item2.6" localSheetId="18">#REF!</definedName>
    <definedName name="item2.6" localSheetId="20">#REF!</definedName>
    <definedName name="item2.6" localSheetId="21">#REF!</definedName>
    <definedName name="item2.6" localSheetId="3">#REF!</definedName>
    <definedName name="item2.6" localSheetId="11">#REF!</definedName>
    <definedName name="item2.6">#REF!</definedName>
    <definedName name="item2.7" localSheetId="13">#REF!</definedName>
    <definedName name="item2.7" localSheetId="14">#REF!</definedName>
    <definedName name="item2.7" localSheetId="15">#REF!</definedName>
    <definedName name="item2.7" localSheetId="16">#REF!</definedName>
    <definedName name="item2.7" localSheetId="17">#REF!</definedName>
    <definedName name="item2.7" localSheetId="18">#REF!</definedName>
    <definedName name="item2.7" localSheetId="20">#REF!</definedName>
    <definedName name="item2.7" localSheetId="21">#REF!</definedName>
    <definedName name="item2.7" localSheetId="3">#REF!</definedName>
    <definedName name="item2.7" localSheetId="11">#REF!</definedName>
    <definedName name="item2.7">#REF!</definedName>
    <definedName name="item2.8" localSheetId="13">#REF!</definedName>
    <definedName name="item2.8" localSheetId="14">#REF!</definedName>
    <definedName name="item2.8" localSheetId="15">#REF!</definedName>
    <definedName name="item2.8" localSheetId="16">#REF!</definedName>
    <definedName name="item2.8" localSheetId="17">#REF!</definedName>
    <definedName name="item2.8" localSheetId="18">#REF!</definedName>
    <definedName name="item2.8" localSheetId="20">#REF!</definedName>
    <definedName name="item2.8" localSheetId="21">#REF!</definedName>
    <definedName name="item2.8" localSheetId="3">#REF!</definedName>
    <definedName name="item2.8" localSheetId="11">#REF!</definedName>
    <definedName name="item2.8">#REF!</definedName>
    <definedName name="item2.9" localSheetId="13">#REF!</definedName>
    <definedName name="item2.9" localSheetId="14">#REF!</definedName>
    <definedName name="item2.9" localSheetId="15">#REF!</definedName>
    <definedName name="item2.9" localSheetId="16">#REF!</definedName>
    <definedName name="item2.9" localSheetId="17">#REF!</definedName>
    <definedName name="item2.9" localSheetId="18">#REF!</definedName>
    <definedName name="item2.9" localSheetId="20">#REF!</definedName>
    <definedName name="item2.9" localSheetId="21">#REF!</definedName>
    <definedName name="item2.9" localSheetId="3">#REF!</definedName>
    <definedName name="item2.9" localSheetId="11">#REF!</definedName>
    <definedName name="item2.9">#REF!</definedName>
    <definedName name="item3.1" localSheetId="13">#REF!</definedName>
    <definedName name="item3.1" localSheetId="14">#REF!</definedName>
    <definedName name="item3.1" localSheetId="15">#REF!</definedName>
    <definedName name="item3.1" localSheetId="16">#REF!</definedName>
    <definedName name="item3.1" localSheetId="17">#REF!</definedName>
    <definedName name="item3.1" localSheetId="18">#REF!</definedName>
    <definedName name="item3.1" localSheetId="20">#REF!</definedName>
    <definedName name="item3.1" localSheetId="21">#REF!</definedName>
    <definedName name="item3.1" localSheetId="3">#REF!</definedName>
    <definedName name="item3.1" localSheetId="11">#REF!</definedName>
    <definedName name="item3.1">#REF!</definedName>
    <definedName name="item3.2" localSheetId="13">#REF!</definedName>
    <definedName name="item3.2" localSheetId="14">#REF!</definedName>
    <definedName name="item3.2" localSheetId="15">#REF!</definedName>
    <definedName name="item3.2" localSheetId="16">#REF!</definedName>
    <definedName name="item3.2" localSheetId="17">#REF!</definedName>
    <definedName name="item3.2" localSheetId="18">#REF!</definedName>
    <definedName name="item3.2" localSheetId="20">#REF!</definedName>
    <definedName name="item3.2" localSheetId="21">#REF!</definedName>
    <definedName name="item3.2" localSheetId="3">#REF!</definedName>
    <definedName name="item3.2" localSheetId="11">#REF!</definedName>
    <definedName name="item3.2">#REF!</definedName>
    <definedName name="item3.3" localSheetId="13">#REF!</definedName>
    <definedName name="item3.3" localSheetId="14">#REF!</definedName>
    <definedName name="item3.3" localSheetId="15">#REF!</definedName>
    <definedName name="item3.3" localSheetId="16">#REF!</definedName>
    <definedName name="item3.3" localSheetId="17">#REF!</definedName>
    <definedName name="item3.3" localSheetId="18">#REF!</definedName>
    <definedName name="item3.3" localSheetId="20">#REF!</definedName>
    <definedName name="item3.3" localSheetId="21">#REF!</definedName>
    <definedName name="item3.3" localSheetId="3">#REF!</definedName>
    <definedName name="item3.3" localSheetId="11">#REF!</definedName>
    <definedName name="item3.3">#REF!</definedName>
    <definedName name="item4.1" localSheetId="13">#REF!</definedName>
    <definedName name="item4.1" localSheetId="14">#REF!</definedName>
    <definedName name="item4.1" localSheetId="15">#REF!</definedName>
    <definedName name="item4.1" localSheetId="16">#REF!</definedName>
    <definedName name="item4.1" localSheetId="17">#REF!</definedName>
    <definedName name="item4.1" localSheetId="18">#REF!</definedName>
    <definedName name="item4.1" localSheetId="20">#REF!</definedName>
    <definedName name="item4.1" localSheetId="21">#REF!</definedName>
    <definedName name="item4.1" localSheetId="3">#REF!</definedName>
    <definedName name="item4.1" localSheetId="11">#REF!</definedName>
    <definedName name="item4.1">#REF!</definedName>
    <definedName name="item4.2" localSheetId="13">#REF!</definedName>
    <definedName name="item4.2" localSheetId="14">#REF!</definedName>
    <definedName name="item4.2" localSheetId="15">#REF!</definedName>
    <definedName name="item4.2" localSheetId="16">#REF!</definedName>
    <definedName name="item4.2" localSheetId="17">#REF!</definedName>
    <definedName name="item4.2" localSheetId="18">#REF!</definedName>
    <definedName name="item4.2" localSheetId="20">#REF!</definedName>
    <definedName name="item4.2" localSheetId="21">#REF!</definedName>
    <definedName name="item4.2" localSheetId="3">#REF!</definedName>
    <definedName name="item4.2" localSheetId="11">#REF!</definedName>
    <definedName name="item4.2">#REF!</definedName>
    <definedName name="item4.3" localSheetId="13">#REF!</definedName>
    <definedName name="item4.3" localSheetId="14">#REF!</definedName>
    <definedName name="item4.3" localSheetId="15">#REF!</definedName>
    <definedName name="item4.3" localSheetId="16">#REF!</definedName>
    <definedName name="item4.3" localSheetId="17">#REF!</definedName>
    <definedName name="item4.3" localSheetId="18">#REF!</definedName>
    <definedName name="item4.3" localSheetId="20">#REF!</definedName>
    <definedName name="item4.3" localSheetId="21">#REF!</definedName>
    <definedName name="item4.3" localSheetId="3">#REF!</definedName>
    <definedName name="item4.3" localSheetId="11">#REF!</definedName>
    <definedName name="item4.3">#REF!</definedName>
    <definedName name="item4.4" localSheetId="13">#REF!</definedName>
    <definedName name="item4.4" localSheetId="14">#REF!</definedName>
    <definedName name="item4.4" localSheetId="15">#REF!</definedName>
    <definedName name="item4.4" localSheetId="16">#REF!</definedName>
    <definedName name="item4.4" localSheetId="17">#REF!</definedName>
    <definedName name="item4.4" localSheetId="18">#REF!</definedName>
    <definedName name="item4.4" localSheetId="20">#REF!</definedName>
    <definedName name="item4.4" localSheetId="21">#REF!</definedName>
    <definedName name="item4.4" localSheetId="3">#REF!</definedName>
    <definedName name="item4.4" localSheetId="11">#REF!</definedName>
    <definedName name="item4.4">#REF!</definedName>
    <definedName name="item4.5" localSheetId="13">#REF!</definedName>
    <definedName name="item4.5" localSheetId="14">#REF!</definedName>
    <definedName name="item4.5" localSheetId="15">#REF!</definedName>
    <definedName name="item4.5" localSheetId="16">#REF!</definedName>
    <definedName name="item4.5" localSheetId="17">#REF!</definedName>
    <definedName name="item4.5" localSheetId="18">#REF!</definedName>
    <definedName name="item4.5" localSheetId="20">#REF!</definedName>
    <definedName name="item4.5" localSheetId="21">#REF!</definedName>
    <definedName name="item4.5" localSheetId="3">#REF!</definedName>
    <definedName name="item4.5" localSheetId="11">#REF!</definedName>
    <definedName name="item4.5">#REF!</definedName>
    <definedName name="item4.6" localSheetId="13">#REF!</definedName>
    <definedName name="item4.6" localSheetId="14">#REF!</definedName>
    <definedName name="item4.6" localSheetId="15">#REF!</definedName>
    <definedName name="item4.6" localSheetId="16">#REF!</definedName>
    <definedName name="item4.6" localSheetId="17">#REF!</definedName>
    <definedName name="item4.6" localSheetId="18">#REF!</definedName>
    <definedName name="item4.6" localSheetId="20">#REF!</definedName>
    <definedName name="item4.6" localSheetId="21">#REF!</definedName>
    <definedName name="item4.6" localSheetId="3">#REF!</definedName>
    <definedName name="item4.6" localSheetId="11">#REF!</definedName>
    <definedName name="item4.6">#REF!</definedName>
    <definedName name="item4.7" localSheetId="13">#REF!</definedName>
    <definedName name="item4.7" localSheetId="14">#REF!</definedName>
    <definedName name="item4.7" localSheetId="15">#REF!</definedName>
    <definedName name="item4.7" localSheetId="16">#REF!</definedName>
    <definedName name="item4.7" localSheetId="17">#REF!</definedName>
    <definedName name="item4.7" localSheetId="18">#REF!</definedName>
    <definedName name="item4.7" localSheetId="20">#REF!</definedName>
    <definedName name="item4.7" localSheetId="21">#REF!</definedName>
    <definedName name="item4.7" localSheetId="3">#REF!</definedName>
    <definedName name="item4.7" localSheetId="11">#REF!</definedName>
    <definedName name="item4.7">#REF!</definedName>
    <definedName name="item5.1" localSheetId="13">#REF!</definedName>
    <definedName name="item5.1" localSheetId="14">#REF!</definedName>
    <definedName name="item5.1" localSheetId="15">#REF!</definedName>
    <definedName name="item5.1" localSheetId="16">#REF!</definedName>
    <definedName name="item5.1" localSheetId="17">#REF!</definedName>
    <definedName name="item5.1" localSheetId="18">#REF!</definedName>
    <definedName name="item5.1" localSheetId="20">#REF!</definedName>
    <definedName name="item5.1" localSheetId="21">#REF!</definedName>
    <definedName name="item5.1" localSheetId="3">#REF!</definedName>
    <definedName name="item5.1" localSheetId="11">#REF!</definedName>
    <definedName name="item5.1">#REF!</definedName>
    <definedName name="item5.2" localSheetId="13">#REF!</definedName>
    <definedName name="item5.2" localSheetId="14">#REF!</definedName>
    <definedName name="item5.2" localSheetId="15">#REF!</definedName>
    <definedName name="item5.2" localSheetId="16">#REF!</definedName>
    <definedName name="item5.2" localSheetId="17">#REF!</definedName>
    <definedName name="item5.2" localSheetId="18">#REF!</definedName>
    <definedName name="item5.2" localSheetId="20">#REF!</definedName>
    <definedName name="item5.2" localSheetId="21">#REF!</definedName>
    <definedName name="item5.2" localSheetId="3">#REF!</definedName>
    <definedName name="item5.2" localSheetId="11">#REF!</definedName>
    <definedName name="item5.2">#REF!</definedName>
    <definedName name="item5.3" localSheetId="13">#REF!</definedName>
    <definedName name="item5.3" localSheetId="14">#REF!</definedName>
    <definedName name="item5.3" localSheetId="15">#REF!</definedName>
    <definedName name="item5.3" localSheetId="16">#REF!</definedName>
    <definedName name="item5.3" localSheetId="17">#REF!</definedName>
    <definedName name="item5.3" localSheetId="18">#REF!</definedName>
    <definedName name="item5.3" localSheetId="20">#REF!</definedName>
    <definedName name="item5.3" localSheetId="21">#REF!</definedName>
    <definedName name="item5.3" localSheetId="3">#REF!</definedName>
    <definedName name="item5.3" localSheetId="11">#REF!</definedName>
    <definedName name="item5.3">#REF!</definedName>
    <definedName name="item5.4" localSheetId="13">#REF!</definedName>
    <definedName name="item5.4" localSheetId="14">#REF!</definedName>
    <definedName name="item5.4" localSheetId="15">#REF!</definedName>
    <definedName name="item5.4" localSheetId="16">#REF!</definedName>
    <definedName name="item5.4" localSheetId="17">#REF!</definedName>
    <definedName name="item5.4" localSheetId="18">#REF!</definedName>
    <definedName name="item5.4" localSheetId="20">#REF!</definedName>
    <definedName name="item5.4" localSheetId="21">#REF!</definedName>
    <definedName name="item5.4" localSheetId="3">#REF!</definedName>
    <definedName name="item5.4" localSheetId="11">#REF!</definedName>
    <definedName name="item5.4">#REF!</definedName>
    <definedName name="item5.5" localSheetId="13">#REF!</definedName>
    <definedName name="item5.5" localSheetId="14">#REF!</definedName>
    <definedName name="item5.5" localSheetId="15">#REF!</definedName>
    <definedName name="item5.5" localSheetId="16">#REF!</definedName>
    <definedName name="item5.5" localSheetId="17">#REF!</definedName>
    <definedName name="item5.5" localSheetId="18">#REF!</definedName>
    <definedName name="item5.5" localSheetId="20">#REF!</definedName>
    <definedName name="item5.5" localSheetId="21">#REF!</definedName>
    <definedName name="item5.5" localSheetId="3">#REF!</definedName>
    <definedName name="item5.5" localSheetId="11">#REF!</definedName>
    <definedName name="item5.5">#REF!</definedName>
    <definedName name="item5.6" localSheetId="13">#REF!</definedName>
    <definedName name="item5.6" localSheetId="14">#REF!</definedName>
    <definedName name="item5.6" localSheetId="15">#REF!</definedName>
    <definedName name="item5.6" localSheetId="16">#REF!</definedName>
    <definedName name="item5.6" localSheetId="17">#REF!</definedName>
    <definedName name="item5.6" localSheetId="18">#REF!</definedName>
    <definedName name="item5.6" localSheetId="20">#REF!</definedName>
    <definedName name="item5.6" localSheetId="21">#REF!</definedName>
    <definedName name="item5.6" localSheetId="3">#REF!</definedName>
    <definedName name="item5.6" localSheetId="11">#REF!</definedName>
    <definedName name="item5.6">#REF!</definedName>
    <definedName name="item5.7" localSheetId="13">#REF!</definedName>
    <definedName name="item5.7" localSheetId="14">#REF!</definedName>
    <definedName name="item5.7" localSheetId="15">#REF!</definedName>
    <definedName name="item5.7" localSheetId="16">#REF!</definedName>
    <definedName name="item5.7" localSheetId="17">#REF!</definedName>
    <definedName name="item5.7" localSheetId="18">#REF!</definedName>
    <definedName name="item5.7" localSheetId="20">#REF!</definedName>
    <definedName name="item5.7" localSheetId="21">#REF!</definedName>
    <definedName name="item5.7" localSheetId="3">#REF!</definedName>
    <definedName name="item5.7" localSheetId="11">#REF!</definedName>
    <definedName name="item5.7">#REF!</definedName>
    <definedName name="item6.1" localSheetId="13">#REF!</definedName>
    <definedName name="item6.1" localSheetId="14">#REF!</definedName>
    <definedName name="item6.1" localSheetId="15">#REF!</definedName>
    <definedName name="item6.1" localSheetId="16">#REF!</definedName>
    <definedName name="item6.1" localSheetId="17">#REF!</definedName>
    <definedName name="item6.1" localSheetId="18">#REF!</definedName>
    <definedName name="item6.1" localSheetId="20">#REF!</definedName>
    <definedName name="item6.1" localSheetId="21">#REF!</definedName>
    <definedName name="item6.1" localSheetId="3">#REF!</definedName>
    <definedName name="item6.1" localSheetId="11">#REF!</definedName>
    <definedName name="item6.1">#REF!</definedName>
    <definedName name="item6.2" localSheetId="13">#REF!</definedName>
    <definedName name="item6.2" localSheetId="14">#REF!</definedName>
    <definedName name="item6.2" localSheetId="15">#REF!</definedName>
    <definedName name="item6.2" localSheetId="16">#REF!</definedName>
    <definedName name="item6.2" localSheetId="17">#REF!</definedName>
    <definedName name="item6.2" localSheetId="18">#REF!</definedName>
    <definedName name="item6.2" localSheetId="20">#REF!</definedName>
    <definedName name="item6.2" localSheetId="21">#REF!</definedName>
    <definedName name="item6.2" localSheetId="3">#REF!</definedName>
    <definedName name="item6.2" localSheetId="11">#REF!</definedName>
    <definedName name="item6.2">#REF!</definedName>
    <definedName name="item6.3" localSheetId="13">#REF!</definedName>
    <definedName name="item6.3" localSheetId="14">#REF!</definedName>
    <definedName name="item6.3" localSheetId="15">#REF!</definedName>
    <definedName name="item6.3" localSheetId="16">#REF!</definedName>
    <definedName name="item6.3" localSheetId="17">#REF!</definedName>
    <definedName name="item6.3" localSheetId="18">#REF!</definedName>
    <definedName name="item6.3" localSheetId="20">#REF!</definedName>
    <definedName name="item6.3" localSheetId="21">#REF!</definedName>
    <definedName name="item6.3" localSheetId="3">#REF!</definedName>
    <definedName name="item6.3" localSheetId="11">#REF!</definedName>
    <definedName name="item6.3">#REF!</definedName>
    <definedName name="item6.4" localSheetId="13">#REF!</definedName>
    <definedName name="item6.4" localSheetId="14">#REF!</definedName>
    <definedName name="item6.4" localSheetId="15">#REF!</definedName>
    <definedName name="item6.4" localSheetId="16">#REF!</definedName>
    <definedName name="item6.4" localSheetId="17">#REF!</definedName>
    <definedName name="item6.4" localSheetId="18">#REF!</definedName>
    <definedName name="item6.4" localSheetId="20">#REF!</definedName>
    <definedName name="item6.4" localSheetId="21">#REF!</definedName>
    <definedName name="item6.4" localSheetId="3">#REF!</definedName>
    <definedName name="item6.4" localSheetId="11">#REF!</definedName>
    <definedName name="item6.4">#REF!</definedName>
    <definedName name="item6.5" localSheetId="13">#REF!</definedName>
    <definedName name="item6.5" localSheetId="14">#REF!</definedName>
    <definedName name="item6.5" localSheetId="15">#REF!</definedName>
    <definedName name="item6.5" localSheetId="16">#REF!</definedName>
    <definedName name="item6.5" localSheetId="17">#REF!</definedName>
    <definedName name="item6.5" localSheetId="18">#REF!</definedName>
    <definedName name="item6.5" localSheetId="20">#REF!</definedName>
    <definedName name="item6.5" localSheetId="21">#REF!</definedName>
    <definedName name="item6.5" localSheetId="3">#REF!</definedName>
    <definedName name="item6.5" localSheetId="11">#REF!</definedName>
    <definedName name="item6.5">#REF!</definedName>
    <definedName name="item7.1" localSheetId="13">#REF!</definedName>
    <definedName name="item7.1" localSheetId="14">#REF!</definedName>
    <definedName name="item7.1" localSheetId="15">#REF!</definedName>
    <definedName name="item7.1" localSheetId="16">#REF!</definedName>
    <definedName name="item7.1" localSheetId="17">#REF!</definedName>
    <definedName name="item7.1" localSheetId="18">#REF!</definedName>
    <definedName name="item7.1" localSheetId="20">#REF!</definedName>
    <definedName name="item7.1" localSheetId="21">#REF!</definedName>
    <definedName name="item7.1" localSheetId="3">#REF!</definedName>
    <definedName name="item7.1" localSheetId="11">#REF!</definedName>
    <definedName name="item7.1">#REF!</definedName>
    <definedName name="item7.10" localSheetId="13">#REF!</definedName>
    <definedName name="item7.10" localSheetId="14">#REF!</definedName>
    <definedName name="item7.10" localSheetId="15">#REF!</definedName>
    <definedName name="item7.10" localSheetId="16">#REF!</definedName>
    <definedName name="item7.10" localSheetId="17">#REF!</definedName>
    <definedName name="item7.10" localSheetId="18">#REF!</definedName>
    <definedName name="item7.10" localSheetId="20">#REF!</definedName>
    <definedName name="item7.10" localSheetId="21">#REF!</definedName>
    <definedName name="item7.10" localSheetId="3">#REF!</definedName>
    <definedName name="item7.10" localSheetId="11">#REF!</definedName>
    <definedName name="item7.10">#REF!</definedName>
    <definedName name="item7.11" localSheetId="13">#REF!</definedName>
    <definedName name="item7.11" localSheetId="14">#REF!</definedName>
    <definedName name="item7.11" localSheetId="15">#REF!</definedName>
    <definedName name="item7.11" localSheetId="16">#REF!</definedName>
    <definedName name="item7.11" localSheetId="17">#REF!</definedName>
    <definedName name="item7.11" localSheetId="18">#REF!</definedName>
    <definedName name="item7.11" localSheetId="20">#REF!</definedName>
    <definedName name="item7.11" localSheetId="21">#REF!</definedName>
    <definedName name="item7.11" localSheetId="3">#REF!</definedName>
    <definedName name="item7.11" localSheetId="11">#REF!</definedName>
    <definedName name="item7.11">#REF!</definedName>
    <definedName name="item7.12" localSheetId="13">#REF!</definedName>
    <definedName name="item7.12" localSheetId="14">#REF!</definedName>
    <definedName name="item7.12" localSheetId="15">#REF!</definedName>
    <definedName name="item7.12" localSheetId="16">#REF!</definedName>
    <definedName name="item7.12" localSheetId="17">#REF!</definedName>
    <definedName name="item7.12" localSheetId="18">#REF!</definedName>
    <definedName name="item7.12" localSheetId="20">#REF!</definedName>
    <definedName name="item7.12" localSheetId="21">#REF!</definedName>
    <definedName name="item7.12" localSheetId="3">#REF!</definedName>
    <definedName name="item7.12" localSheetId="11">#REF!</definedName>
    <definedName name="item7.12">#REF!</definedName>
    <definedName name="item7.13" localSheetId="13">#REF!</definedName>
    <definedName name="item7.13" localSheetId="14">#REF!</definedName>
    <definedName name="item7.13" localSheetId="15">#REF!</definedName>
    <definedName name="item7.13" localSheetId="16">#REF!</definedName>
    <definedName name="item7.13" localSheetId="17">#REF!</definedName>
    <definedName name="item7.13" localSheetId="18">#REF!</definedName>
    <definedName name="item7.13" localSheetId="20">#REF!</definedName>
    <definedName name="item7.13" localSheetId="21">#REF!</definedName>
    <definedName name="item7.13" localSheetId="3">#REF!</definedName>
    <definedName name="item7.13" localSheetId="11">#REF!</definedName>
    <definedName name="item7.13">#REF!</definedName>
    <definedName name="item7.14" localSheetId="13">#REF!</definedName>
    <definedName name="item7.14" localSheetId="14">#REF!</definedName>
    <definedName name="item7.14" localSheetId="15">#REF!</definedName>
    <definedName name="item7.14" localSheetId="16">#REF!</definedName>
    <definedName name="item7.14" localSheetId="17">#REF!</definedName>
    <definedName name="item7.14" localSheetId="18">#REF!</definedName>
    <definedName name="item7.14" localSheetId="20">#REF!</definedName>
    <definedName name="item7.14" localSheetId="21">#REF!</definedName>
    <definedName name="item7.14" localSheetId="3">#REF!</definedName>
    <definedName name="item7.14" localSheetId="11">#REF!</definedName>
    <definedName name="item7.14">#REF!</definedName>
    <definedName name="item7.15" localSheetId="13">#REF!</definedName>
    <definedName name="item7.15" localSheetId="14">#REF!</definedName>
    <definedName name="item7.15" localSheetId="15">#REF!</definedName>
    <definedName name="item7.15" localSheetId="16">#REF!</definedName>
    <definedName name="item7.15" localSheetId="17">#REF!</definedName>
    <definedName name="item7.15" localSheetId="18">#REF!</definedName>
    <definedName name="item7.15" localSheetId="20">#REF!</definedName>
    <definedName name="item7.15" localSheetId="21">#REF!</definedName>
    <definedName name="item7.15" localSheetId="3">#REF!</definedName>
    <definedName name="item7.15" localSheetId="11">#REF!</definedName>
    <definedName name="item7.15">#REF!</definedName>
    <definedName name="item7.16" localSheetId="13">#REF!</definedName>
    <definedName name="item7.16" localSheetId="14">#REF!</definedName>
    <definedName name="item7.16" localSheetId="15">#REF!</definedName>
    <definedName name="item7.16" localSheetId="16">#REF!</definedName>
    <definedName name="item7.16" localSheetId="17">#REF!</definedName>
    <definedName name="item7.16" localSheetId="18">#REF!</definedName>
    <definedName name="item7.16" localSheetId="20">#REF!</definedName>
    <definedName name="item7.16" localSheetId="21">#REF!</definedName>
    <definedName name="item7.16" localSheetId="3">#REF!</definedName>
    <definedName name="item7.16" localSheetId="11">#REF!</definedName>
    <definedName name="item7.16">#REF!</definedName>
    <definedName name="item7.17" localSheetId="13">#REF!</definedName>
    <definedName name="item7.17" localSheetId="14">#REF!</definedName>
    <definedName name="item7.17" localSheetId="15">#REF!</definedName>
    <definedName name="item7.17" localSheetId="16">#REF!</definedName>
    <definedName name="item7.17" localSheetId="17">#REF!</definedName>
    <definedName name="item7.17" localSheetId="18">#REF!</definedName>
    <definedName name="item7.17" localSheetId="20">#REF!</definedName>
    <definedName name="item7.17" localSheetId="21">#REF!</definedName>
    <definedName name="item7.17" localSheetId="3">#REF!</definedName>
    <definedName name="item7.17" localSheetId="11">#REF!</definedName>
    <definedName name="item7.17">#REF!</definedName>
    <definedName name="item7.18" localSheetId="13">#REF!</definedName>
    <definedName name="item7.18" localSheetId="14">#REF!</definedName>
    <definedName name="item7.18" localSheetId="15">#REF!</definedName>
    <definedName name="item7.18" localSheetId="16">#REF!</definedName>
    <definedName name="item7.18" localSheetId="17">#REF!</definedName>
    <definedName name="item7.18" localSheetId="18">#REF!</definedName>
    <definedName name="item7.18" localSheetId="20">#REF!</definedName>
    <definedName name="item7.18" localSheetId="21">#REF!</definedName>
    <definedName name="item7.18" localSheetId="3">#REF!</definedName>
    <definedName name="item7.18" localSheetId="11">#REF!</definedName>
    <definedName name="item7.18">#REF!</definedName>
    <definedName name="item7.19" localSheetId="13">#REF!</definedName>
    <definedName name="item7.19" localSheetId="14">#REF!</definedName>
    <definedName name="item7.19" localSheetId="15">#REF!</definedName>
    <definedName name="item7.19" localSheetId="16">#REF!</definedName>
    <definedName name="item7.19" localSheetId="17">#REF!</definedName>
    <definedName name="item7.19" localSheetId="18">#REF!</definedName>
    <definedName name="item7.19" localSheetId="20">#REF!</definedName>
    <definedName name="item7.19" localSheetId="21">#REF!</definedName>
    <definedName name="item7.19" localSheetId="3">#REF!</definedName>
    <definedName name="item7.19" localSheetId="11">#REF!</definedName>
    <definedName name="item7.19">#REF!</definedName>
    <definedName name="item7.2" localSheetId="13">#REF!</definedName>
    <definedName name="item7.2" localSheetId="14">#REF!</definedName>
    <definedName name="item7.2" localSheetId="15">#REF!</definedName>
    <definedName name="item7.2" localSheetId="16">#REF!</definedName>
    <definedName name="item7.2" localSheetId="17">#REF!</definedName>
    <definedName name="item7.2" localSheetId="18">#REF!</definedName>
    <definedName name="item7.2" localSheetId="20">#REF!</definedName>
    <definedName name="item7.2" localSheetId="21">#REF!</definedName>
    <definedName name="item7.2" localSheetId="3">#REF!</definedName>
    <definedName name="item7.2" localSheetId="11">#REF!</definedName>
    <definedName name="item7.2">#REF!</definedName>
    <definedName name="item7.3" localSheetId="13">#REF!</definedName>
    <definedName name="item7.3" localSheetId="14">#REF!</definedName>
    <definedName name="item7.3" localSheetId="15">#REF!</definedName>
    <definedName name="item7.3" localSheetId="16">#REF!</definedName>
    <definedName name="item7.3" localSheetId="17">#REF!</definedName>
    <definedName name="item7.3" localSheetId="18">#REF!</definedName>
    <definedName name="item7.3" localSheetId="20">#REF!</definedName>
    <definedName name="item7.3" localSheetId="21">#REF!</definedName>
    <definedName name="item7.3" localSheetId="3">#REF!</definedName>
    <definedName name="item7.3" localSheetId="11">#REF!</definedName>
    <definedName name="item7.3">#REF!</definedName>
    <definedName name="item7.4" localSheetId="13">#REF!</definedName>
    <definedName name="item7.4" localSheetId="14">#REF!</definedName>
    <definedName name="item7.4" localSheetId="15">#REF!</definedName>
    <definedName name="item7.4" localSheetId="16">#REF!</definedName>
    <definedName name="item7.4" localSheetId="17">#REF!</definedName>
    <definedName name="item7.4" localSheetId="18">#REF!</definedName>
    <definedName name="item7.4" localSheetId="20">#REF!</definedName>
    <definedName name="item7.4" localSheetId="21">#REF!</definedName>
    <definedName name="item7.4" localSheetId="3">#REF!</definedName>
    <definedName name="item7.4" localSheetId="11">#REF!</definedName>
    <definedName name="item7.4">#REF!</definedName>
    <definedName name="item7.5" localSheetId="13">#REF!</definedName>
    <definedName name="item7.5" localSheetId="14">#REF!</definedName>
    <definedName name="item7.5" localSheetId="15">#REF!</definedName>
    <definedName name="item7.5" localSheetId="16">#REF!</definedName>
    <definedName name="item7.5" localSheetId="17">#REF!</definedName>
    <definedName name="item7.5" localSheetId="18">#REF!</definedName>
    <definedName name="item7.5" localSheetId="20">#REF!</definedName>
    <definedName name="item7.5" localSheetId="21">#REF!</definedName>
    <definedName name="item7.5" localSheetId="3">#REF!</definedName>
    <definedName name="item7.5" localSheetId="11">#REF!</definedName>
    <definedName name="item7.5">#REF!</definedName>
    <definedName name="item7.6" localSheetId="13">#REF!</definedName>
    <definedName name="item7.6" localSheetId="14">#REF!</definedName>
    <definedName name="item7.6" localSheetId="15">#REF!</definedName>
    <definedName name="item7.6" localSheetId="16">#REF!</definedName>
    <definedName name="item7.6" localSheetId="17">#REF!</definedName>
    <definedName name="item7.6" localSheetId="18">#REF!</definedName>
    <definedName name="item7.6" localSheetId="20">#REF!</definedName>
    <definedName name="item7.6" localSheetId="21">#REF!</definedName>
    <definedName name="item7.6" localSheetId="3">#REF!</definedName>
    <definedName name="item7.6" localSheetId="11">#REF!</definedName>
    <definedName name="item7.6">#REF!</definedName>
    <definedName name="item7.7" localSheetId="13">#REF!</definedName>
    <definedName name="item7.7" localSheetId="14">#REF!</definedName>
    <definedName name="item7.7" localSheetId="15">#REF!</definedName>
    <definedName name="item7.7" localSheetId="16">#REF!</definedName>
    <definedName name="item7.7" localSheetId="17">#REF!</definedName>
    <definedName name="item7.7" localSheetId="18">#REF!</definedName>
    <definedName name="item7.7" localSheetId="20">#REF!</definedName>
    <definedName name="item7.7" localSheetId="21">#REF!</definedName>
    <definedName name="item7.7" localSheetId="3">#REF!</definedName>
    <definedName name="item7.7" localSheetId="11">#REF!</definedName>
    <definedName name="item7.7">#REF!</definedName>
    <definedName name="item7.8" localSheetId="13">#REF!</definedName>
    <definedName name="item7.8" localSheetId="14">#REF!</definedName>
    <definedName name="item7.8" localSheetId="15">#REF!</definedName>
    <definedName name="item7.8" localSheetId="16">#REF!</definedName>
    <definedName name="item7.8" localSheetId="17">#REF!</definedName>
    <definedName name="item7.8" localSheetId="18">#REF!</definedName>
    <definedName name="item7.8" localSheetId="20">#REF!</definedName>
    <definedName name="item7.8" localSheetId="21">#REF!</definedName>
    <definedName name="item7.8" localSheetId="3">#REF!</definedName>
    <definedName name="item7.8" localSheetId="11">#REF!</definedName>
    <definedName name="item7.8">#REF!</definedName>
    <definedName name="item7.9" localSheetId="13">#REF!</definedName>
    <definedName name="item7.9" localSheetId="14">#REF!</definedName>
    <definedName name="item7.9" localSheetId="15">#REF!</definedName>
    <definedName name="item7.9" localSheetId="16">#REF!</definedName>
    <definedName name="item7.9" localSheetId="17">#REF!</definedName>
    <definedName name="item7.9" localSheetId="18">#REF!</definedName>
    <definedName name="item7.9" localSheetId="20">#REF!</definedName>
    <definedName name="item7.9" localSheetId="21">#REF!</definedName>
    <definedName name="item7.9" localSheetId="3">#REF!</definedName>
    <definedName name="item7.9" localSheetId="11">#REF!</definedName>
    <definedName name="item7.9">#REF!</definedName>
    <definedName name="item8.1" localSheetId="13">#REF!</definedName>
    <definedName name="item8.1" localSheetId="14">#REF!</definedName>
    <definedName name="item8.1" localSheetId="15">#REF!</definedName>
    <definedName name="item8.1" localSheetId="16">#REF!</definedName>
    <definedName name="item8.1" localSheetId="17">#REF!</definedName>
    <definedName name="item8.1" localSheetId="18">#REF!</definedName>
    <definedName name="item8.1" localSheetId="20">#REF!</definedName>
    <definedName name="item8.1" localSheetId="21">#REF!</definedName>
    <definedName name="item8.1" localSheetId="3">#REF!</definedName>
    <definedName name="item8.1" localSheetId="11">#REF!</definedName>
    <definedName name="item8.1">#REF!</definedName>
    <definedName name="item8.2" localSheetId="13">#REF!</definedName>
    <definedName name="item8.2" localSheetId="14">#REF!</definedName>
    <definedName name="item8.2" localSheetId="15">#REF!</definedName>
    <definedName name="item8.2" localSheetId="16">#REF!</definedName>
    <definedName name="item8.2" localSheetId="17">#REF!</definedName>
    <definedName name="item8.2" localSheetId="18">#REF!</definedName>
    <definedName name="item8.2" localSheetId="20">#REF!</definedName>
    <definedName name="item8.2" localSheetId="21">#REF!</definedName>
    <definedName name="item8.2" localSheetId="3">#REF!</definedName>
    <definedName name="item8.2" localSheetId="11">#REF!</definedName>
    <definedName name="item8.2">#REF!</definedName>
    <definedName name="item8.3" localSheetId="13">#REF!</definedName>
    <definedName name="item8.3" localSheetId="14">#REF!</definedName>
    <definedName name="item8.3" localSheetId="15">#REF!</definedName>
    <definedName name="item8.3" localSheetId="16">#REF!</definedName>
    <definedName name="item8.3" localSheetId="17">#REF!</definedName>
    <definedName name="item8.3" localSheetId="18">#REF!</definedName>
    <definedName name="item8.3" localSheetId="20">#REF!</definedName>
    <definedName name="item8.3" localSheetId="21">#REF!</definedName>
    <definedName name="item8.3" localSheetId="3">#REF!</definedName>
    <definedName name="item8.3" localSheetId="11">#REF!</definedName>
    <definedName name="item8.3">#REF!</definedName>
    <definedName name="item8.4" localSheetId="13">#REF!</definedName>
    <definedName name="item8.4" localSheetId="14">#REF!</definedName>
    <definedName name="item8.4" localSheetId="15">#REF!</definedName>
    <definedName name="item8.4" localSheetId="16">#REF!</definedName>
    <definedName name="item8.4" localSheetId="17">#REF!</definedName>
    <definedName name="item8.4" localSheetId="18">#REF!</definedName>
    <definedName name="item8.4" localSheetId="20">#REF!</definedName>
    <definedName name="item8.4" localSheetId="21">#REF!</definedName>
    <definedName name="item8.4" localSheetId="3">#REF!</definedName>
    <definedName name="item8.4" localSheetId="11">#REF!</definedName>
    <definedName name="item8.4">#REF!</definedName>
    <definedName name="item8.5" localSheetId="13">#REF!</definedName>
    <definedName name="item8.5" localSheetId="14">#REF!</definedName>
    <definedName name="item8.5" localSheetId="15">#REF!</definedName>
    <definedName name="item8.5" localSheetId="16">#REF!</definedName>
    <definedName name="item8.5" localSheetId="17">#REF!</definedName>
    <definedName name="item8.5" localSheetId="18">#REF!</definedName>
    <definedName name="item8.5" localSheetId="20">#REF!</definedName>
    <definedName name="item8.5" localSheetId="21">#REF!</definedName>
    <definedName name="item8.5" localSheetId="3">#REF!</definedName>
    <definedName name="item8.5" localSheetId="11">#REF!</definedName>
    <definedName name="item8.5">#REF!</definedName>
    <definedName name="item8.6" localSheetId="13">#REF!</definedName>
    <definedName name="item8.6" localSheetId="14">#REF!</definedName>
    <definedName name="item8.6" localSheetId="15">#REF!</definedName>
    <definedName name="item8.6" localSheetId="16">#REF!</definedName>
    <definedName name="item8.6" localSheetId="17">#REF!</definedName>
    <definedName name="item8.6" localSheetId="18">#REF!</definedName>
    <definedName name="item8.6" localSheetId="20">#REF!</definedName>
    <definedName name="item8.6" localSheetId="21">#REF!</definedName>
    <definedName name="item8.6" localSheetId="3">#REF!</definedName>
    <definedName name="item8.6" localSheetId="11">#REF!</definedName>
    <definedName name="item8.6">#REF!</definedName>
    <definedName name="item9.1" localSheetId="13">#REF!</definedName>
    <definedName name="item9.1" localSheetId="14">#REF!</definedName>
    <definedName name="item9.1" localSheetId="15">#REF!</definedName>
    <definedName name="item9.1" localSheetId="16">#REF!</definedName>
    <definedName name="item9.1" localSheetId="17">#REF!</definedName>
    <definedName name="item9.1" localSheetId="18">#REF!</definedName>
    <definedName name="item9.1" localSheetId="20">#REF!</definedName>
    <definedName name="item9.1" localSheetId="21">#REF!</definedName>
    <definedName name="item9.1" localSheetId="3">#REF!</definedName>
    <definedName name="item9.1" localSheetId="11">#REF!</definedName>
    <definedName name="item9.1">#REF!</definedName>
    <definedName name="item9.2" localSheetId="13">#REF!</definedName>
    <definedName name="item9.2" localSheetId="14">#REF!</definedName>
    <definedName name="item9.2" localSheetId="15">#REF!</definedName>
    <definedName name="item9.2" localSheetId="16">#REF!</definedName>
    <definedName name="item9.2" localSheetId="17">#REF!</definedName>
    <definedName name="item9.2" localSheetId="18">#REF!</definedName>
    <definedName name="item9.2" localSheetId="20">#REF!</definedName>
    <definedName name="item9.2" localSheetId="21">#REF!</definedName>
    <definedName name="item9.2" localSheetId="3">#REF!</definedName>
    <definedName name="item9.2" localSheetId="11">#REF!</definedName>
    <definedName name="item9.2">#REF!</definedName>
    <definedName name="item9.3" localSheetId="13">#REF!</definedName>
    <definedName name="item9.3" localSheetId="14">#REF!</definedName>
    <definedName name="item9.3" localSheetId="15">#REF!</definedName>
    <definedName name="item9.3" localSheetId="16">#REF!</definedName>
    <definedName name="item9.3" localSheetId="17">#REF!</definedName>
    <definedName name="item9.3" localSheetId="18">#REF!</definedName>
    <definedName name="item9.3" localSheetId="20">#REF!</definedName>
    <definedName name="item9.3" localSheetId="21">#REF!</definedName>
    <definedName name="item9.3" localSheetId="3">#REF!</definedName>
    <definedName name="item9.3" localSheetId="11">#REF!</definedName>
    <definedName name="item9.3">#REF!</definedName>
    <definedName name="item9.4" localSheetId="13">#REF!</definedName>
    <definedName name="item9.4" localSheetId="14">#REF!</definedName>
    <definedName name="item9.4" localSheetId="15">#REF!</definedName>
    <definedName name="item9.4" localSheetId="16">#REF!</definedName>
    <definedName name="item9.4" localSheetId="17">#REF!</definedName>
    <definedName name="item9.4" localSheetId="18">#REF!</definedName>
    <definedName name="item9.4" localSheetId="20">#REF!</definedName>
    <definedName name="item9.4" localSheetId="21">#REF!</definedName>
    <definedName name="item9.4" localSheetId="3">#REF!</definedName>
    <definedName name="item9.4" localSheetId="11">#REF!</definedName>
    <definedName name="item9.4">#REF!</definedName>
    <definedName name="item9.5" localSheetId="13">#REF!</definedName>
    <definedName name="item9.5" localSheetId="14">#REF!</definedName>
    <definedName name="item9.5" localSheetId="15">#REF!</definedName>
    <definedName name="item9.5" localSheetId="16">#REF!</definedName>
    <definedName name="item9.5" localSheetId="17">#REF!</definedName>
    <definedName name="item9.5" localSheetId="18">#REF!</definedName>
    <definedName name="item9.5" localSheetId="20">#REF!</definedName>
    <definedName name="item9.5" localSheetId="21">#REF!</definedName>
    <definedName name="item9.5" localSheetId="3">#REF!</definedName>
    <definedName name="item9.5" localSheetId="11">#REF!</definedName>
    <definedName name="item9.5">#REF!</definedName>
    <definedName name="item9.6" localSheetId="13">#REF!</definedName>
    <definedName name="item9.6" localSheetId="14">#REF!</definedName>
    <definedName name="item9.6" localSheetId="15">#REF!</definedName>
    <definedName name="item9.6" localSheetId="16">#REF!</definedName>
    <definedName name="item9.6" localSheetId="17">#REF!</definedName>
    <definedName name="item9.6" localSheetId="18">#REF!</definedName>
    <definedName name="item9.6" localSheetId="20">#REF!</definedName>
    <definedName name="item9.6" localSheetId="21">#REF!</definedName>
    <definedName name="item9.6" localSheetId="3">#REF!</definedName>
    <definedName name="item9.6" localSheetId="11">#REF!</definedName>
    <definedName name="item9.6">#REF!</definedName>
    <definedName name="item9.7" localSheetId="13">#REF!</definedName>
    <definedName name="item9.7" localSheetId="14">#REF!</definedName>
    <definedName name="item9.7" localSheetId="15">#REF!</definedName>
    <definedName name="item9.7" localSheetId="16">#REF!</definedName>
    <definedName name="item9.7" localSheetId="17">#REF!</definedName>
    <definedName name="item9.7" localSheetId="18">#REF!</definedName>
    <definedName name="item9.7" localSheetId="20">#REF!</definedName>
    <definedName name="item9.7" localSheetId="21">#REF!</definedName>
    <definedName name="item9.7" localSheetId="3">#REF!</definedName>
    <definedName name="item9.7" localSheetId="11">#REF!</definedName>
    <definedName name="item9.7">#REF!</definedName>
    <definedName name="item9.8" localSheetId="13">#REF!</definedName>
    <definedName name="item9.8" localSheetId="14">#REF!</definedName>
    <definedName name="item9.8" localSheetId="15">#REF!</definedName>
    <definedName name="item9.8" localSheetId="16">#REF!</definedName>
    <definedName name="item9.8" localSheetId="17">#REF!</definedName>
    <definedName name="item9.8" localSheetId="18">#REF!</definedName>
    <definedName name="item9.8" localSheetId="20">#REF!</definedName>
    <definedName name="item9.8" localSheetId="21">#REF!</definedName>
    <definedName name="item9.8" localSheetId="3">#REF!</definedName>
    <definedName name="item9.8" localSheetId="11">#REF!</definedName>
    <definedName name="item9.8">#REF!</definedName>
    <definedName name="item9.9" localSheetId="13">#REF!</definedName>
    <definedName name="item9.9" localSheetId="14">#REF!</definedName>
    <definedName name="item9.9" localSheetId="15">#REF!</definedName>
    <definedName name="item9.9" localSheetId="16">#REF!</definedName>
    <definedName name="item9.9" localSheetId="17">#REF!</definedName>
    <definedName name="item9.9" localSheetId="18">#REF!</definedName>
    <definedName name="item9.9" localSheetId="20">#REF!</definedName>
    <definedName name="item9.9" localSheetId="21">#REF!</definedName>
    <definedName name="item9.9" localSheetId="3">#REF!</definedName>
    <definedName name="item9.9" localSheetId="11">#REF!</definedName>
    <definedName name="item9.9">#REF!</definedName>
    <definedName name="itm10.2" localSheetId="13">#REF!</definedName>
    <definedName name="itm10.2" localSheetId="14">#REF!</definedName>
    <definedName name="itm10.2" localSheetId="15">#REF!</definedName>
    <definedName name="itm10.2" localSheetId="16">#REF!</definedName>
    <definedName name="itm10.2" localSheetId="17">#REF!</definedName>
    <definedName name="itm10.2" localSheetId="18">#REF!</definedName>
    <definedName name="itm10.2" localSheetId="20">#REF!</definedName>
    <definedName name="itm10.2" localSheetId="21">#REF!</definedName>
    <definedName name="itm10.2" localSheetId="3">#REF!</definedName>
    <definedName name="itm10.2" localSheetId="11">#REF!</definedName>
    <definedName name="itm10.2">#REF!</definedName>
    <definedName name="J" hidden="1">#REF!</definedName>
    <definedName name="JARACATY">#REF!</definedName>
    <definedName name="Jd" localSheetId="13">#REF!</definedName>
    <definedName name="Jd" localSheetId="14">#REF!</definedName>
    <definedName name="Jd" localSheetId="15">#REF!</definedName>
    <definedName name="Jd" localSheetId="16">#REF!</definedName>
    <definedName name="Jd" localSheetId="17">#REF!</definedName>
    <definedName name="Jd" localSheetId="18">#REF!</definedName>
    <definedName name="Jd" localSheetId="20">#REF!</definedName>
    <definedName name="Jd" localSheetId="21">#REF!</definedName>
    <definedName name="Jd" localSheetId="3">#REF!</definedName>
    <definedName name="Jd" localSheetId="11">#REF!</definedName>
    <definedName name="Jd">#REF!</definedName>
    <definedName name="JESUS" localSheetId="13">#REF!</definedName>
    <definedName name="JESUS" localSheetId="14">#REF!</definedName>
    <definedName name="JESUS" localSheetId="15">#REF!</definedName>
    <definedName name="JESUS" localSheetId="16">#REF!</definedName>
    <definedName name="JESUS" localSheetId="17">#REF!</definedName>
    <definedName name="JESUS" localSheetId="18">#REF!</definedName>
    <definedName name="JESUS" localSheetId="20">#REF!</definedName>
    <definedName name="JESUS" localSheetId="21">#REF!</definedName>
    <definedName name="JESUS" localSheetId="7">#REF!</definedName>
    <definedName name="JESUS" localSheetId="3">#REF!</definedName>
    <definedName name="JESUS" localSheetId="11">#REF!</definedName>
    <definedName name="JESUS">'[12]Refor Out. 2001 - BDI=20% Ajust'!#REF!</definedName>
    <definedName name="Jm" localSheetId="13">#REF!</definedName>
    <definedName name="Jm" localSheetId="14">#REF!</definedName>
    <definedName name="Jm" localSheetId="15">#REF!</definedName>
    <definedName name="Jm" localSheetId="16">#REF!</definedName>
    <definedName name="Jm" localSheetId="17">#REF!</definedName>
    <definedName name="Jm" localSheetId="18">#REF!</definedName>
    <definedName name="Jm" localSheetId="20">#REF!</definedName>
    <definedName name="Jm" localSheetId="21">#REF!</definedName>
    <definedName name="Jm" localSheetId="3">#REF!</definedName>
    <definedName name="Jm" localSheetId="11">#REF!</definedName>
    <definedName name="Jm">#REF!</definedName>
    <definedName name="JTJ">#REF!</definedName>
    <definedName name="k" localSheetId="13">#REF!</definedName>
    <definedName name="k" localSheetId="14">#REF!</definedName>
    <definedName name="k" localSheetId="15">#REF!</definedName>
    <definedName name="k" localSheetId="16">#REF!</definedName>
    <definedName name="k" localSheetId="17">#REF!</definedName>
    <definedName name="k" localSheetId="18">#REF!</definedName>
    <definedName name="k" localSheetId="20">#REF!</definedName>
    <definedName name="k" localSheetId="21">#REF!</definedName>
    <definedName name="k" localSheetId="7">#REF!</definedName>
    <definedName name="k" localSheetId="3">#REF!</definedName>
    <definedName name="k" localSheetId="11">#REF!</definedName>
    <definedName name="k">#REF!</definedName>
    <definedName name="K1geral">#REF!</definedName>
    <definedName name="KH" localSheetId="13">#REF!</definedName>
    <definedName name="KH" localSheetId="14">#REF!</definedName>
    <definedName name="KH" localSheetId="15">#REF!</definedName>
    <definedName name="KH" localSheetId="16">#REF!</definedName>
    <definedName name="KH" localSheetId="17">#REF!</definedName>
    <definedName name="KH" localSheetId="18">#REF!</definedName>
    <definedName name="KH" localSheetId="20">#REF!</definedName>
    <definedName name="KH" localSheetId="21">#REF!</definedName>
    <definedName name="KH" localSheetId="7">#REF!</definedName>
    <definedName name="KH" localSheetId="3">#REF!</definedName>
    <definedName name="KH" localSheetId="11">#REF!</definedName>
    <definedName name="KH">#REF!</definedName>
    <definedName name="km" localSheetId="13">#REF!</definedName>
    <definedName name="km" localSheetId="14">#REF!</definedName>
    <definedName name="km" localSheetId="15">#REF!</definedName>
    <definedName name="km" localSheetId="16">#REF!</definedName>
    <definedName name="km" localSheetId="17">#REF!</definedName>
    <definedName name="km" localSheetId="18">#REF!</definedName>
    <definedName name="km" localSheetId="20">#REF!</definedName>
    <definedName name="km" localSheetId="21">#REF!</definedName>
    <definedName name="km" localSheetId="7">#REF!</definedName>
    <definedName name="km" localSheetId="3">#REF!</definedName>
    <definedName name="km" localSheetId="11">#REF!</definedName>
    <definedName name="km">#REF!</definedName>
    <definedName name="KM.406.407" localSheetId="13">#REF!</definedName>
    <definedName name="KM.406.407" localSheetId="14">#REF!</definedName>
    <definedName name="KM.406.407" localSheetId="15">#REF!</definedName>
    <definedName name="KM.406.407" localSheetId="16">#REF!</definedName>
    <definedName name="KM.406.407" localSheetId="17">#REF!</definedName>
    <definedName name="KM.406.407" localSheetId="18">#REF!</definedName>
    <definedName name="KM.406.407" localSheetId="20">#REF!</definedName>
    <definedName name="KM.406.407" localSheetId="21">#REF!</definedName>
    <definedName name="KM.406.407" localSheetId="7">#REF!</definedName>
    <definedName name="KM.406.407" localSheetId="3">#REF!</definedName>
    <definedName name="KM.406.407" localSheetId="11">#REF!</definedName>
    <definedName name="KM.406.407">#REF!</definedName>
    <definedName name="kwh" localSheetId="13">#REF!</definedName>
    <definedName name="kwh" localSheetId="14">#REF!</definedName>
    <definedName name="kwh" localSheetId="15">#REF!</definedName>
    <definedName name="kwh" localSheetId="16">#REF!</definedName>
    <definedName name="kwh" localSheetId="17">#REF!</definedName>
    <definedName name="kwh" localSheetId="18">#REF!</definedName>
    <definedName name="kwh" localSheetId="20">#REF!</definedName>
    <definedName name="kwh" localSheetId="21">#REF!</definedName>
    <definedName name="kwh" localSheetId="7">#REF!</definedName>
    <definedName name="kwh" localSheetId="3">#REF!</definedName>
    <definedName name="kwh" localSheetId="11">#REF!</definedName>
    <definedName name="kwh">#REF!</definedName>
    <definedName name="LADRILHISTA">#REF!</definedName>
    <definedName name="LAGO_DA_PEDRA">#REF!</definedName>
    <definedName name="limpa_totunit">#REF!,#REF!,#REF!,#REF!,#REF!,#REF!,#REF!,#REF!,#REF!,#REF!,#REF!,#REF!,#REF!,#REF!</definedName>
    <definedName name="lista" localSheetId="13">#REF!</definedName>
    <definedName name="lista" localSheetId="14">#REF!</definedName>
    <definedName name="lista" localSheetId="15">#REF!</definedName>
    <definedName name="lista" localSheetId="16">#REF!</definedName>
    <definedName name="lista" localSheetId="17">#REF!</definedName>
    <definedName name="lista" localSheetId="18">#REF!</definedName>
    <definedName name="lista" localSheetId="20">#REF!</definedName>
    <definedName name="lista" localSheetId="21">#REF!</definedName>
    <definedName name="lista" localSheetId="22">#REF!</definedName>
    <definedName name="lista" localSheetId="7">#REF!</definedName>
    <definedName name="lista" localSheetId="3">#REF!</definedName>
    <definedName name="lista" localSheetId="11">#REF!</definedName>
    <definedName name="lista">#REF!</definedName>
    <definedName name="lista.coluna" localSheetId="13">#REF!</definedName>
    <definedName name="lista.coluna" localSheetId="14">#REF!</definedName>
    <definedName name="lista.coluna" localSheetId="15">#REF!</definedName>
    <definedName name="lista.coluna" localSheetId="16">#REF!</definedName>
    <definedName name="lista.coluna" localSheetId="17">#REF!</definedName>
    <definedName name="lista.coluna" localSheetId="18">#REF!</definedName>
    <definedName name="lista.coluna" localSheetId="20">#REF!</definedName>
    <definedName name="lista.coluna" localSheetId="21">#REF!</definedName>
    <definedName name="lista.coluna" localSheetId="7">#REF!</definedName>
    <definedName name="lista.coluna" localSheetId="3">#REF!</definedName>
    <definedName name="lista.coluna" localSheetId="11">#REF!</definedName>
    <definedName name="lista.coluna">#REF!</definedName>
    <definedName name="lista.linha" localSheetId="13">#REF!</definedName>
    <definedName name="lista.linha" localSheetId="14">#REF!</definedName>
    <definedName name="lista.linha" localSheetId="15">#REF!</definedName>
    <definedName name="lista.linha" localSheetId="16">#REF!</definedName>
    <definedName name="lista.linha" localSheetId="17">#REF!</definedName>
    <definedName name="lista.linha" localSheetId="18">#REF!</definedName>
    <definedName name="lista.linha" localSheetId="20">#REF!</definedName>
    <definedName name="lista.linha" localSheetId="21">#REF!</definedName>
    <definedName name="lista.linha" localSheetId="7">#REF!</definedName>
    <definedName name="lista.linha" localSheetId="3">#REF!</definedName>
    <definedName name="lista.linha" localSheetId="11">#REF!</definedName>
    <definedName name="lista.linha">#REF!</definedName>
    <definedName name="lista2">#REF!</definedName>
    <definedName name="lll">#REF!</definedName>
    <definedName name="lllllllllllllllllllllll" localSheetId="13">Plan1</definedName>
    <definedName name="lllllllllllllllllllllll" localSheetId="16">Plan1</definedName>
    <definedName name="lllllllllllllllllllllll" localSheetId="20">Plan1</definedName>
    <definedName name="lllllllllllllllllllllll" localSheetId="21">Plan1</definedName>
    <definedName name="lllllllllllllllllllllll" localSheetId="11">Plan1</definedName>
    <definedName name="lllllllllllllllllllllll">Plan1</definedName>
    <definedName name="Local" localSheetId="13">#REF!</definedName>
    <definedName name="Local" localSheetId="14">#REF!</definedName>
    <definedName name="Local" localSheetId="15">#REF!</definedName>
    <definedName name="Local" localSheetId="16">#REF!</definedName>
    <definedName name="Local" localSheetId="17">#REF!</definedName>
    <definedName name="Local" localSheetId="18">#REF!</definedName>
    <definedName name="Local" localSheetId="20">#REF!</definedName>
    <definedName name="Local" localSheetId="21">#REF!</definedName>
    <definedName name="Local" localSheetId="22">#REF!</definedName>
    <definedName name="Local" localSheetId="3">#REF!</definedName>
    <definedName name="Local" localSheetId="11">#REF!</definedName>
    <definedName name="Local">#REF!</definedName>
    <definedName name="lourival" localSheetId="13">Plan1</definedName>
    <definedName name="lourival" localSheetId="16">Plan1</definedName>
    <definedName name="lourival" localSheetId="20">Plan1</definedName>
    <definedName name="lourival" localSheetId="21">Plan1</definedName>
    <definedName name="lourival" localSheetId="11">Plan1</definedName>
    <definedName name="lourival">Plan1</definedName>
    <definedName name="lr" localSheetId="13">Plan1</definedName>
    <definedName name="lr" localSheetId="16">Plan1</definedName>
    <definedName name="lr" localSheetId="20">Plan1</definedName>
    <definedName name="lr" localSheetId="21">Plan1</definedName>
    <definedName name="lr" localSheetId="11">Plan1</definedName>
    <definedName name="lr">Plan1</definedName>
    <definedName name="LS">#REF!</definedName>
    <definedName name="Lucro" localSheetId="13">#REF!</definedName>
    <definedName name="Lucro" localSheetId="14">#REF!</definedName>
    <definedName name="Lucro" localSheetId="15">#REF!</definedName>
    <definedName name="Lucro" localSheetId="16">#REF!</definedName>
    <definedName name="Lucro" localSheetId="17">#REF!</definedName>
    <definedName name="Lucro" localSheetId="18">#REF!</definedName>
    <definedName name="Lucro" localSheetId="20">#REF!</definedName>
    <definedName name="Lucro" localSheetId="21">#REF!</definedName>
    <definedName name="Lucro" localSheetId="22">#REF!</definedName>
    <definedName name="Lucro" localSheetId="3">#REF!</definedName>
    <definedName name="Lucro" localSheetId="11">#REF!</definedName>
    <definedName name="Lucro">#REF!</definedName>
    <definedName name="Luva_lisa_de_alumínio_diam_20mm">#REF!</definedName>
    <definedName name="Luva_lisa_de_alumínio_diam_25mm">#REF!</definedName>
    <definedName name="Luva_lisa_de_alumínio_diam_32mm">#REF!</definedName>
    <definedName name="m" localSheetId="13">#REF!</definedName>
    <definedName name="m" localSheetId="14">#REF!</definedName>
    <definedName name="m" localSheetId="15">#REF!</definedName>
    <definedName name="m" localSheetId="16">#REF!</definedName>
    <definedName name="m" localSheetId="17">#REF!</definedName>
    <definedName name="m" localSheetId="18">#REF!</definedName>
    <definedName name="m" localSheetId="20">#REF!</definedName>
    <definedName name="m" localSheetId="21">#REF!</definedName>
    <definedName name="m" localSheetId="3">#REF!</definedName>
    <definedName name="m" localSheetId="11">#REF!</definedName>
    <definedName name="m">#REF!</definedName>
    <definedName name="MAO_DE_OBRA_PARA_COLOCACAO_DE_VIDRO_COM_MASSA">#REF!</definedName>
    <definedName name="MAR" localSheetId="13">#REF!</definedName>
    <definedName name="MAR" localSheetId="14">#REF!</definedName>
    <definedName name="MAR" localSheetId="15">#REF!</definedName>
    <definedName name="MAR" localSheetId="16">#REF!</definedName>
    <definedName name="MAR" localSheetId="17">#REF!</definedName>
    <definedName name="MAR" localSheetId="18">#REF!</definedName>
    <definedName name="MAR" localSheetId="20">#REF!</definedName>
    <definedName name="MAR" localSheetId="21">#REF!</definedName>
    <definedName name="MAR" localSheetId="3">#REF!</definedName>
    <definedName name="MAR" localSheetId="11">#REF!</definedName>
    <definedName name="MAR">#REF!</definedName>
    <definedName name="MAT" localSheetId="13">#REF!</definedName>
    <definedName name="MAT" localSheetId="14">#REF!</definedName>
    <definedName name="MAT" localSheetId="15">#REF!</definedName>
    <definedName name="MAT" localSheetId="16">#REF!</definedName>
    <definedName name="MAT" localSheetId="17">#REF!</definedName>
    <definedName name="MAT" localSheetId="18">#REF!</definedName>
    <definedName name="MAT" localSheetId="20">#REF!</definedName>
    <definedName name="MAT" localSheetId="21">#REF!</definedName>
    <definedName name="MAT" localSheetId="7">#REF!</definedName>
    <definedName name="MAT" localSheetId="3">#REF!</definedName>
    <definedName name="MAT" localSheetId="11">#REF!</definedName>
    <definedName name="MAT">#REF!</definedName>
    <definedName name="material" localSheetId="13">#REF!</definedName>
    <definedName name="material" localSheetId="14">#REF!</definedName>
    <definedName name="material" localSheetId="15">#REF!</definedName>
    <definedName name="material" localSheetId="16">#REF!</definedName>
    <definedName name="material" localSheetId="17">#REF!</definedName>
    <definedName name="material" localSheetId="18">#REF!</definedName>
    <definedName name="material" localSheetId="20">#REF!</definedName>
    <definedName name="material" localSheetId="21">#REF!</definedName>
    <definedName name="material" localSheetId="7">#REF!</definedName>
    <definedName name="material" localSheetId="3">#REF!</definedName>
    <definedName name="material" localSheetId="11">#REF!</definedName>
    <definedName name="material">#REF!</definedName>
    <definedName name="MEMORIA" localSheetId="13">#REF!</definedName>
    <definedName name="MEMORIA" localSheetId="14">#REF!</definedName>
    <definedName name="MEMORIA" localSheetId="15">#REF!</definedName>
    <definedName name="MEMORIA" localSheetId="16">#REF!</definedName>
    <definedName name="MEMORIA" localSheetId="17">#REF!</definedName>
    <definedName name="MEMORIA" localSheetId="18">#REF!</definedName>
    <definedName name="MEMORIA" localSheetId="20">#REF!</definedName>
    <definedName name="MEMORIA" localSheetId="21">#REF!</definedName>
    <definedName name="MEMORIA" localSheetId="3">#REF!</definedName>
    <definedName name="MEMORIA" localSheetId="11">#REF!</definedName>
    <definedName name="MEMORIA">#REF!</definedName>
    <definedName name="Memóriapiso">#REF!</definedName>
    <definedName name="MÊS" localSheetId="22">#REF!</definedName>
    <definedName name="MÊS">#REF!</definedName>
    <definedName name="Meses">"al!$A$26:$G$31;Anual!$I$26:$O$31;Anual!$Q$26:$W$31;Anual!$A$17:$G$22;Anual!$I$17:$O$22;Anual!$Q$17:$W$22;Anual!$Q$8:$W$13;Anual!$I$8:$O$13;Anual!$A$8:$G$13"</definedName>
    <definedName name="MKMKM">#REF!</definedName>
    <definedName name="MMM">#REF!</definedName>
    <definedName name="MMMM" hidden="1">#REF!</definedName>
    <definedName name="MMMMMM" localSheetId="13">#REF!</definedName>
    <definedName name="MMMMMM" localSheetId="14">#REF!</definedName>
    <definedName name="MMMMMM" localSheetId="15">#REF!</definedName>
    <definedName name="MMMMMM" localSheetId="16">#REF!</definedName>
    <definedName name="MMMMMM" localSheetId="17">#REF!</definedName>
    <definedName name="MMMMMM" localSheetId="18">#REF!</definedName>
    <definedName name="MMMMMM" localSheetId="20">#REF!</definedName>
    <definedName name="MMMMMM" localSheetId="21">#REF!</definedName>
    <definedName name="MMMMMM" localSheetId="22">#REF!</definedName>
    <definedName name="MMMMMM" localSheetId="3">#REF!</definedName>
    <definedName name="MMMMMM" localSheetId="11">#REF!</definedName>
    <definedName name="MMMMMM">#REF!</definedName>
    <definedName name="MNBVC" localSheetId="22">#REF!</definedName>
    <definedName name="MNBVC">#REF!</definedName>
    <definedName name="MO" localSheetId="13">#REF!</definedName>
    <definedName name="MO" localSheetId="14">#REF!</definedName>
    <definedName name="MO" localSheetId="15">#REF!</definedName>
    <definedName name="MO" localSheetId="16">#REF!</definedName>
    <definedName name="MO" localSheetId="17">#REF!</definedName>
    <definedName name="MO" localSheetId="18">#REF!</definedName>
    <definedName name="MO" localSheetId="20">#REF!</definedName>
    <definedName name="MO" localSheetId="21">#REF!</definedName>
    <definedName name="MO" localSheetId="7">#REF!</definedName>
    <definedName name="MO" localSheetId="3">#REF!</definedName>
    <definedName name="MO" localSheetId="11">#REF!</definedName>
    <definedName name="MO">#REF!</definedName>
    <definedName name="mobra">#REF!</definedName>
    <definedName name="MOD_I" hidden="1">#REF!</definedName>
    <definedName name="N">#REF!</definedName>
    <definedName name="NC">#REF!</definedName>
    <definedName name="ND">#REF!</definedName>
    <definedName name="NI">#REF!</definedName>
    <definedName name="nil" localSheetId="13">#REF!</definedName>
    <definedName name="nil" localSheetId="14">#REF!</definedName>
    <definedName name="nil" localSheetId="15">#REF!</definedName>
    <definedName name="nil" localSheetId="16">#REF!</definedName>
    <definedName name="nil" localSheetId="17">#REF!</definedName>
    <definedName name="nil" localSheetId="18">#REF!</definedName>
    <definedName name="nil" localSheetId="20">#REF!</definedName>
    <definedName name="nil" localSheetId="21">#REF!</definedName>
    <definedName name="nil" localSheetId="7">#REF!</definedName>
    <definedName name="nil" localSheetId="3">#REF!</definedName>
    <definedName name="nil" localSheetId="11">#REF!</definedName>
    <definedName name="nil">#REF!</definedName>
    <definedName name="NN">#REF!</definedName>
    <definedName name="NOME">'[6]Cad.Fornecedores'!$B$1:$B$65536</definedName>
    <definedName name="NOME1" localSheetId="13">#REF!</definedName>
    <definedName name="NOME1" localSheetId="14">#REF!</definedName>
    <definedName name="NOME1" localSheetId="15">#REF!</definedName>
    <definedName name="NOME1" localSheetId="16">#REF!</definedName>
    <definedName name="NOME1" localSheetId="17">#REF!</definedName>
    <definedName name="NOME1" localSheetId="18">#REF!</definedName>
    <definedName name="NOME1" localSheetId="20">#REF!</definedName>
    <definedName name="NOME1" localSheetId="21">#REF!</definedName>
    <definedName name="NOME1" localSheetId="7">#REF!</definedName>
    <definedName name="NOME1" localSheetId="3">#REF!</definedName>
    <definedName name="NOME1" localSheetId="11">#REF!</definedName>
    <definedName name="NOME1">#REF!</definedName>
    <definedName name="NOME1_6" localSheetId="13">#REF!</definedName>
    <definedName name="NOME1_6" localSheetId="14">#REF!</definedName>
    <definedName name="NOME1_6" localSheetId="15">#REF!</definedName>
    <definedName name="NOME1_6" localSheetId="16">#REF!</definedName>
    <definedName name="NOME1_6" localSheetId="17">#REF!</definedName>
    <definedName name="NOME1_6" localSheetId="18">#REF!</definedName>
    <definedName name="NOME1_6" localSheetId="20">#REF!</definedName>
    <definedName name="NOME1_6" localSheetId="21">#REF!</definedName>
    <definedName name="NOME1_6" localSheetId="3">#REF!</definedName>
    <definedName name="NOME1_6" localSheetId="11">#REF!</definedName>
    <definedName name="NOME1_6">#REF!</definedName>
    <definedName name="NOTA1">#REF!</definedName>
    <definedName name="NOTA10">#REF!</definedName>
    <definedName name="NOTA11">#REF!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OVA">#REF!</definedName>
    <definedName name="NPNE" localSheetId="13">#REF!</definedName>
    <definedName name="NPNE" localSheetId="14">#REF!</definedName>
    <definedName name="NPNE" localSheetId="15">#REF!</definedName>
    <definedName name="NPNE" localSheetId="16">#REF!</definedName>
    <definedName name="NPNE" localSheetId="17">#REF!</definedName>
    <definedName name="NPNE" localSheetId="18">#REF!</definedName>
    <definedName name="NPNE" localSheetId="20">#REF!</definedName>
    <definedName name="NPNE" localSheetId="21">#REF!</definedName>
    <definedName name="NPNE" localSheetId="3">#REF!</definedName>
    <definedName name="NPNE" localSheetId="11">#REF!</definedName>
    <definedName name="NPNE">#REF!</definedName>
    <definedName name="nr.ag.lote">#REF!</definedName>
    <definedName name="nr.ag.lote_1">#REF!</definedName>
    <definedName name="OBRA" localSheetId="13">#REF!</definedName>
    <definedName name="OBRA" localSheetId="14">#REF!</definedName>
    <definedName name="OBRA" localSheetId="15">#REF!</definedName>
    <definedName name="OBRA" localSheetId="16">#REF!</definedName>
    <definedName name="OBRA" localSheetId="17">#REF!</definedName>
    <definedName name="OBRA" localSheetId="18">#REF!</definedName>
    <definedName name="OBRA" localSheetId="20">#REF!</definedName>
    <definedName name="OBRA" localSheetId="21">#REF!</definedName>
    <definedName name="OBRA" localSheetId="22">#REF!</definedName>
    <definedName name="OBRA" localSheetId="3">#REF!</definedName>
    <definedName name="OBRA" localSheetId="11">#REF!</definedName>
    <definedName name="OBRA">#REF!</definedName>
    <definedName name="Oficial">#REF!</definedName>
    <definedName name="OI">#REF!</definedName>
    <definedName name="ok" localSheetId="13">#REF!</definedName>
    <definedName name="ok" localSheetId="14">#REF!</definedName>
    <definedName name="ok" localSheetId="15">#REF!</definedName>
    <definedName name="ok" localSheetId="16">#REF!</definedName>
    <definedName name="ok" localSheetId="17">#REF!</definedName>
    <definedName name="ok" localSheetId="18">#REF!</definedName>
    <definedName name="ok" localSheetId="20">#REF!</definedName>
    <definedName name="ok" localSheetId="21">#REF!</definedName>
    <definedName name="ok" localSheetId="22">#REF!</definedName>
    <definedName name="ok" localSheetId="7">#REF!</definedName>
    <definedName name="ok" localSheetId="3">#REF!</definedName>
    <definedName name="ok" localSheetId="11">#REF!</definedName>
    <definedName name="ok">#REF!</definedName>
    <definedName name="ol">#REF!</definedName>
    <definedName name="Orçamento" localSheetId="13">#REF!</definedName>
    <definedName name="Orçamento" localSheetId="14">#REF!</definedName>
    <definedName name="Orçamento" localSheetId="15">#REF!</definedName>
    <definedName name="Orçamento" localSheetId="16">#REF!</definedName>
    <definedName name="Orçamento" localSheetId="17">#REF!</definedName>
    <definedName name="Orçamento" localSheetId="18">#REF!</definedName>
    <definedName name="Orçamento" localSheetId="20">#REF!</definedName>
    <definedName name="Orçamento" localSheetId="21">#REF!</definedName>
    <definedName name="Orçamento" localSheetId="22">#REF!</definedName>
    <definedName name="Orçamento" localSheetId="3">#REF!</definedName>
    <definedName name="Orçamento" localSheetId="11">#REF!</definedName>
    <definedName name="Orçamento">#REF!</definedName>
    <definedName name="ORÇAMENTO.BancoRef" hidden="1">#REF!</definedName>
    <definedName name="ORÇAMENTO.CustoUnitario" localSheetId="22" hidden="1">ROUND(#REF!,15-13*#REF!)</definedName>
    <definedName name="ORÇAMENTO.CustoUnitario" hidden="1">ROUND(#REF!,15-13*#REF!)</definedName>
    <definedName name="ORÇAMENTO.PrecoUnitarioLicitado" hidden="1">#REF!</definedName>
    <definedName name="Orçamento_Básico" localSheetId="13">#REF!</definedName>
    <definedName name="Orçamento_Básico" localSheetId="14">#REF!</definedName>
    <definedName name="Orçamento_Básico" localSheetId="15">#REF!</definedName>
    <definedName name="Orçamento_Básico" localSheetId="16">#REF!</definedName>
    <definedName name="Orçamento_Básico" localSheetId="17">#REF!</definedName>
    <definedName name="Orçamento_Básico" localSheetId="18">#REF!</definedName>
    <definedName name="Orçamento_Básico" localSheetId="20">#REF!</definedName>
    <definedName name="Orçamento_Básico" localSheetId="21">#REF!</definedName>
    <definedName name="Orçamento_Básico" localSheetId="3">#REF!</definedName>
    <definedName name="Orçamento_Básico" localSheetId="11">#REF!</definedName>
    <definedName name="Orçamento_Básico">#REF!</definedName>
    <definedName name="p" localSheetId="13">#REF!</definedName>
    <definedName name="p" localSheetId="14">#REF!</definedName>
    <definedName name="p" localSheetId="15">#REF!</definedName>
    <definedName name="p" localSheetId="16">#REF!</definedName>
    <definedName name="p" localSheetId="17">#REF!</definedName>
    <definedName name="p" localSheetId="18">#REF!</definedName>
    <definedName name="p" localSheetId="20">#REF!</definedName>
    <definedName name="p" localSheetId="21">#REF!</definedName>
    <definedName name="p" localSheetId="3">#REF!</definedName>
    <definedName name="p" localSheetId="11">#REF!</definedName>
    <definedName name="p">#REF!</definedName>
    <definedName name="Parcial" localSheetId="13">#REF!</definedName>
    <definedName name="Parcial" localSheetId="14">#REF!</definedName>
    <definedName name="Parcial" localSheetId="15">#REF!</definedName>
    <definedName name="Parcial" localSheetId="16">#REF!</definedName>
    <definedName name="Parcial" localSheetId="17">#REF!</definedName>
    <definedName name="Parcial" localSheetId="18">#REF!</definedName>
    <definedName name="Parcial" localSheetId="20">#REF!</definedName>
    <definedName name="Parcial" localSheetId="21">#REF!</definedName>
    <definedName name="Parcial" localSheetId="3">#REF!</definedName>
    <definedName name="Parcial" localSheetId="11">#REF!</definedName>
    <definedName name="Parcial">#REF!</definedName>
    <definedName name="PEDREIRAS">#REF!</definedName>
    <definedName name="pessoal" localSheetId="13">#REF!</definedName>
    <definedName name="pessoal" localSheetId="14">#REF!</definedName>
    <definedName name="pessoal" localSheetId="15">#REF!</definedName>
    <definedName name="pessoal" localSheetId="16">#REF!</definedName>
    <definedName name="pessoal" localSheetId="17">#REF!</definedName>
    <definedName name="pessoal" localSheetId="18">#REF!</definedName>
    <definedName name="pessoal" localSheetId="20">#REF!</definedName>
    <definedName name="pessoal" localSheetId="21">#REF!</definedName>
    <definedName name="pessoal" localSheetId="7">#REF!</definedName>
    <definedName name="pessoal" localSheetId="3">#REF!</definedName>
    <definedName name="pessoal" localSheetId="11">#REF!</definedName>
    <definedName name="pessoal">#REF!</definedName>
    <definedName name="PINHEIRO">#REF!</definedName>
    <definedName name="PL_ABC" localSheetId="13">#REF!</definedName>
    <definedName name="PL_ABC" localSheetId="14">#REF!</definedName>
    <definedName name="PL_ABC" localSheetId="15">#REF!</definedName>
    <definedName name="PL_ABC" localSheetId="16">#REF!</definedName>
    <definedName name="PL_ABC" localSheetId="17">#REF!</definedName>
    <definedName name="PL_ABC" localSheetId="18">#REF!</definedName>
    <definedName name="PL_ABC" localSheetId="20">#REF!</definedName>
    <definedName name="PL_ABC" localSheetId="21">#REF!</definedName>
    <definedName name="PL_ABC" localSheetId="7">#REF!</definedName>
    <definedName name="PL_ABC" localSheetId="3">#REF!</definedName>
    <definedName name="PL_ABC" localSheetId="11">#REF!</definedName>
    <definedName name="PL_ABC">#REF!</definedName>
    <definedName name="PL_DNER_BARREIRO">#REF!</definedName>
    <definedName name="PL_PB_BARREIRO">#REF!</definedName>
    <definedName name="planejado">#REF!</definedName>
    <definedName name="planilha" localSheetId="13">#REF!</definedName>
    <definedName name="planilha" localSheetId="14">#REF!</definedName>
    <definedName name="planilha" localSheetId="15">#REF!</definedName>
    <definedName name="planilha" localSheetId="16">#REF!</definedName>
    <definedName name="planilha" localSheetId="17">#REF!</definedName>
    <definedName name="planilha" localSheetId="18">#REF!</definedName>
    <definedName name="planilha" localSheetId="20">#REF!</definedName>
    <definedName name="planilha" localSheetId="21">#REF!</definedName>
    <definedName name="planilha" localSheetId="22">#REF!</definedName>
    <definedName name="planilha" localSheetId="7">#REF!</definedName>
    <definedName name="planilha" localSheetId="3">#REF!</definedName>
    <definedName name="planilha" localSheetId="11">#REF!</definedName>
    <definedName name="planilha">#REF!</definedName>
    <definedName name="PLANILHA1" localSheetId="13">#REF!</definedName>
    <definedName name="PLANILHA1" localSheetId="14">#REF!</definedName>
    <definedName name="PLANILHA1" localSheetId="15">#REF!</definedName>
    <definedName name="PLANILHA1" localSheetId="16">#REF!</definedName>
    <definedName name="PLANILHA1" localSheetId="17">#REF!</definedName>
    <definedName name="PLANILHA1" localSheetId="18">#REF!</definedName>
    <definedName name="PLANILHA1" localSheetId="20">#REF!</definedName>
    <definedName name="PLANILHA1" localSheetId="21">#REF!</definedName>
    <definedName name="PLANILHA1" localSheetId="7">#REF!</definedName>
    <definedName name="PLANILHA1" localSheetId="3">#REF!</definedName>
    <definedName name="PLANILHA1" localSheetId="11">#REF!</definedName>
    <definedName name="PLANILHA1">#REF!</definedName>
    <definedName name="planuilha">#REF!</definedName>
    <definedName name="PNE">#REF!</definedName>
    <definedName name="pontenova" localSheetId="22" hidden="1">{#N/A,#N/A,FALSE,"Planilha";#N/A,#N/A,FALSE,"Resumo";#N/A,#N/A,FALSE,"Fisico";#N/A,#N/A,FALSE,"Financeiro";#N/A,#N/A,FALSE,"Financeiro"}</definedName>
    <definedName name="pontenova" hidden="1">{#N/A,#N/A,FALSE,"Planilha";#N/A,#N/A,FALSE,"Resumo";#N/A,#N/A,FALSE,"Fisico";#N/A,#N/A,FALSE,"Financeiro";#N/A,#N/A,FALSE,"Financeiro"}</definedName>
    <definedName name="portico">#REF!</definedName>
    <definedName name="ppp">#REF!</definedName>
    <definedName name="Preço_Unitário_1" localSheetId="13">#REF!</definedName>
    <definedName name="Preço_Unitário_1" localSheetId="14">#REF!</definedName>
    <definedName name="Preço_Unitário_1" localSheetId="15">#REF!</definedName>
    <definedName name="Preço_Unitário_1" localSheetId="16">#REF!</definedName>
    <definedName name="Preço_Unitário_1" localSheetId="17">#REF!</definedName>
    <definedName name="Preço_Unitário_1" localSheetId="18">#REF!</definedName>
    <definedName name="Preço_Unitário_1" localSheetId="20">#REF!</definedName>
    <definedName name="Preço_Unitário_1" localSheetId="21">#REF!</definedName>
    <definedName name="Preço_Unitário_1" localSheetId="7">#REF!</definedName>
    <definedName name="Preço_Unitário_1" localSheetId="3">#REF!</definedName>
    <definedName name="Preço_Unitário_1" localSheetId="11">#REF!</definedName>
    <definedName name="Preço_Unitário_1">[5]RESUMO!#REF!</definedName>
    <definedName name="PrecoPEAD" localSheetId="13">#REF!</definedName>
    <definedName name="PrecoPEAD" localSheetId="14">#REF!</definedName>
    <definedName name="PrecoPEAD" localSheetId="15">#REF!</definedName>
    <definedName name="PrecoPEAD" localSheetId="16">#REF!</definedName>
    <definedName name="PrecoPEAD" localSheetId="17">#REF!</definedName>
    <definedName name="PrecoPEAD" localSheetId="18">#REF!</definedName>
    <definedName name="PrecoPEAD" localSheetId="20">#REF!</definedName>
    <definedName name="PrecoPEAD" localSheetId="21">#REF!</definedName>
    <definedName name="PrecoPEAD" localSheetId="7">#REF!</definedName>
    <definedName name="PrecoPEAD" localSheetId="3">#REF!</definedName>
    <definedName name="PrecoPEAD" localSheetId="11">#REF!</definedName>
    <definedName name="PrecoPEAD">#REF!</definedName>
    <definedName name="PREÇOTUBO" localSheetId="13">#REF!</definedName>
    <definedName name="PREÇOTUBO" localSheetId="14">#REF!</definedName>
    <definedName name="PREÇOTUBO" localSheetId="15">#REF!</definedName>
    <definedName name="PREÇOTUBO" localSheetId="16">#REF!</definedName>
    <definedName name="PREÇOTUBO" localSheetId="17">#REF!</definedName>
    <definedName name="PREÇOTUBO" localSheetId="18">#REF!</definedName>
    <definedName name="PREÇOTUBO" localSheetId="20">#REF!</definedName>
    <definedName name="PREÇOTUBO" localSheetId="21">#REF!</definedName>
    <definedName name="PREÇOTUBO" localSheetId="7">#REF!</definedName>
    <definedName name="PREÇOTUBO" localSheetId="3">#REF!</definedName>
    <definedName name="PREÇOTUBO" localSheetId="11">#REF!</definedName>
    <definedName name="PREÇOTUBO">#REF!</definedName>
    <definedName name="PRINT_AREA" localSheetId="13">#REF!</definedName>
    <definedName name="PRINT_AREA" localSheetId="14">#REF!</definedName>
    <definedName name="PRINT_AREA" localSheetId="15">#REF!</definedName>
    <definedName name="PRINT_AREA" localSheetId="16">#REF!</definedName>
    <definedName name="PRINT_AREA" localSheetId="17">#REF!</definedName>
    <definedName name="PRINT_AREA" localSheetId="18">#REF!</definedName>
    <definedName name="PRINT_AREA" localSheetId="20">#REF!</definedName>
    <definedName name="PRINT_AREA" localSheetId="21">#REF!</definedName>
    <definedName name="PRINT_AREA" localSheetId="3">#REF!</definedName>
    <definedName name="PRINT_AREA" localSheetId="11">#REF!</definedName>
    <definedName name="PRINT_AREA">#REF!</definedName>
    <definedName name="PRINT_AREA_MI" localSheetId="13">#REF!</definedName>
    <definedName name="PRINT_AREA_MI" localSheetId="14">#REF!</definedName>
    <definedName name="PRINT_AREA_MI" localSheetId="15">#REF!</definedName>
    <definedName name="PRINT_AREA_MI" localSheetId="16">#REF!</definedName>
    <definedName name="PRINT_AREA_MI" localSheetId="17">#REF!</definedName>
    <definedName name="PRINT_AREA_MI" localSheetId="18">#REF!</definedName>
    <definedName name="PRINT_AREA_MI" localSheetId="20">#REF!</definedName>
    <definedName name="PRINT_AREA_MI" localSheetId="21">#REF!</definedName>
    <definedName name="Print_Area_MI" localSheetId="7">#REF!</definedName>
    <definedName name="PRINT_AREA_MI" localSheetId="3">#REF!</definedName>
    <definedName name="PRINT_AREA_MI" localSheetId="11">#REF!</definedName>
    <definedName name="Print_Area_MI">#REF!</definedName>
    <definedName name="PRINT_TITLES" localSheetId="13">#REF!</definedName>
    <definedName name="PRINT_TITLES" localSheetId="14">#REF!</definedName>
    <definedName name="PRINT_TITLES" localSheetId="15">#REF!</definedName>
    <definedName name="PRINT_TITLES" localSheetId="16">#REF!</definedName>
    <definedName name="PRINT_TITLES" localSheetId="17">#REF!</definedName>
    <definedName name="PRINT_TITLES" localSheetId="18">#REF!</definedName>
    <definedName name="PRINT_TITLES" localSheetId="20">#REF!</definedName>
    <definedName name="PRINT_TITLES" localSheetId="21">#REF!</definedName>
    <definedName name="PRINT_TITLES" localSheetId="3">#REF!</definedName>
    <definedName name="PRINT_TITLES" localSheetId="11">#REF!</definedName>
    <definedName name="PRINT_TITLES">#REF!</definedName>
    <definedName name="PRINT_TITLES_MI" localSheetId="13">#REF!</definedName>
    <definedName name="PRINT_TITLES_MI" localSheetId="14">#REF!</definedName>
    <definedName name="PRINT_TITLES_MI" localSheetId="15">#REF!</definedName>
    <definedName name="PRINT_TITLES_MI" localSheetId="16">#REF!</definedName>
    <definedName name="PRINT_TITLES_MI" localSheetId="17">#REF!</definedName>
    <definedName name="PRINT_TITLES_MI" localSheetId="18">#REF!</definedName>
    <definedName name="PRINT_TITLES_MI" localSheetId="20">#REF!</definedName>
    <definedName name="PRINT_TITLES_MI" localSheetId="21">#REF!</definedName>
    <definedName name="PRINT_TITLES_MI" localSheetId="7">#REF!</definedName>
    <definedName name="PRINT_TITLES_MI" localSheetId="3">#REF!</definedName>
    <definedName name="PRINT_TITLES_MI" localSheetId="11">#REF!</definedName>
    <definedName name="PRINT_TITLES_MI">#REF!</definedName>
    <definedName name="Ptotal" localSheetId="13">ROUND(#REF!*#REF!,2)</definedName>
    <definedName name="Ptotal" localSheetId="14">ROUND(#REF!*#REF!,2)</definedName>
    <definedName name="Ptotal" localSheetId="15">ROUND(#REF!*#REF!,2)</definedName>
    <definedName name="Ptotal" localSheetId="16">ROUND(#REF!*#REF!,2)</definedName>
    <definedName name="Ptotal" localSheetId="17">ROUND(#REF!*#REF!,2)</definedName>
    <definedName name="Ptotal" localSheetId="18">ROUND(#REF!*#REF!,2)</definedName>
    <definedName name="Ptotal" localSheetId="20">ROUND(#REF!*#REF!,2)</definedName>
    <definedName name="Ptotal" localSheetId="21">ROUND(#REF!*#REF!,2)</definedName>
    <definedName name="Ptotal" localSheetId="7">ROUND(#REF!*#REF!,2)</definedName>
    <definedName name="Ptotal" localSheetId="3">ROUND(#REF!*#REF!,2)</definedName>
    <definedName name="Ptotal" localSheetId="11">ROUND(#REF!*#REF!,2)</definedName>
    <definedName name="Ptotal">ROUND(#REF!*#REF!,2)</definedName>
    <definedName name="PUnit10">'[13]PLANILHA (2)'!F1*'[13]PLANILHA (2)'!$P$1</definedName>
    <definedName name="PUnit11">'[13]PLANILHA (2)'!L1*'[13]PLANILHA (2)'!$P$1</definedName>
    <definedName name="PUnit12">'[13]PLANILHA (2)'!I1*'[13]PLANILHA (2)'!$P$1</definedName>
    <definedName name="PVC" localSheetId="13">#REF!</definedName>
    <definedName name="PVC" localSheetId="14">#REF!</definedName>
    <definedName name="PVC" localSheetId="15">#REF!</definedName>
    <definedName name="PVC" localSheetId="16">#REF!</definedName>
    <definedName name="PVC" localSheetId="17">#REF!</definedName>
    <definedName name="PVC" localSheetId="18">#REF!</definedName>
    <definedName name="PVC" localSheetId="20">#REF!</definedName>
    <definedName name="PVC" localSheetId="21">#REF!</definedName>
    <definedName name="PVC" localSheetId="7">#REF!</definedName>
    <definedName name="PVC" localSheetId="3">#REF!</definedName>
    <definedName name="PVC" localSheetId="11">#REF!</definedName>
    <definedName name="PVC">#REF!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20">#REF!</definedName>
    <definedName name="Q" localSheetId="21">#REF!</definedName>
    <definedName name="q" localSheetId="7">#REF!</definedName>
    <definedName name="Q" localSheetId="3">#REF!</definedName>
    <definedName name="Q" localSheetId="11">#REF!</definedName>
    <definedName name="q">#REF!</definedName>
    <definedName name="Quadra" localSheetId="22" hidden="1">{#N/A,#N/A,FALSE,"MO (2)"}</definedName>
    <definedName name="Quadra" hidden="1">{#N/A,#N/A,FALSE,"MO (2)"}</definedName>
    <definedName name="qualquer">#REF!</definedName>
    <definedName name="Quant." localSheetId="13">#REF!</definedName>
    <definedName name="Quant." localSheetId="14">#REF!</definedName>
    <definedName name="Quant." localSheetId="15">#REF!</definedName>
    <definedName name="Quant." localSheetId="16">#REF!</definedName>
    <definedName name="Quant." localSheetId="17">#REF!</definedName>
    <definedName name="Quant." localSheetId="18">#REF!</definedName>
    <definedName name="Quant." localSheetId="20">#REF!</definedName>
    <definedName name="Quant." localSheetId="21">#REF!</definedName>
    <definedName name="Quant." localSheetId="3">#REF!</definedName>
    <definedName name="Quant." localSheetId="11">#REF!</definedName>
    <definedName name="Quant.">#REF!</definedName>
    <definedName name="Quantidade_1" localSheetId="13">#REF!</definedName>
    <definedName name="Quantidade_1" localSheetId="14">#REF!</definedName>
    <definedName name="Quantidade_1" localSheetId="15">#REF!</definedName>
    <definedName name="Quantidade_1" localSheetId="16">#REF!</definedName>
    <definedName name="Quantidade_1" localSheetId="17">#REF!</definedName>
    <definedName name="Quantidade_1" localSheetId="18">#REF!</definedName>
    <definedName name="Quantidade_1" localSheetId="20">#REF!</definedName>
    <definedName name="Quantidade_1" localSheetId="21">#REF!</definedName>
    <definedName name="Quantidade_1" localSheetId="7">#REF!</definedName>
    <definedName name="Quantidade_1" localSheetId="3">#REF!</definedName>
    <definedName name="Quantidade_1" localSheetId="11">#REF!</definedName>
    <definedName name="Quantidade_1">[5]RESUMO!#REF!</definedName>
    <definedName name="Quantidades" localSheetId="22" hidden="1">{#N/A,#N/A,FALSE,"MO (2)"}</definedName>
    <definedName name="Quantidades" localSheetId="7" hidden="1">{#N/A,#N/A,FALSE,"MO (2)"}</definedName>
    <definedName name="Quantidades" hidden="1">{#N/A,#N/A,FALSE,"MO (2)"}</definedName>
    <definedName name="RAN1_2">#REF!</definedName>
    <definedName name="RAN1_3">#REF!</definedName>
    <definedName name="Reajustamento" localSheetId="13">#REF!</definedName>
    <definedName name="Reajustamento" localSheetId="14">#REF!</definedName>
    <definedName name="Reajustamento" localSheetId="15">#REF!</definedName>
    <definedName name="Reajustamento" localSheetId="16">#REF!</definedName>
    <definedName name="Reajustamento" localSheetId="17">#REF!</definedName>
    <definedName name="Reajustamento" localSheetId="18">#REF!</definedName>
    <definedName name="Reajustamento" localSheetId="20">#REF!</definedName>
    <definedName name="Reajustamento" localSheetId="21">#REF!</definedName>
    <definedName name="Reajustamento" localSheetId="7">#REF!</definedName>
    <definedName name="Reajustamento" localSheetId="3">#REF!</definedName>
    <definedName name="Reajustamento" localSheetId="11">#REF!</definedName>
    <definedName name="Reajustamento">#REF!</definedName>
    <definedName name="REATERRO_DE_VALAS_COMPACTADO_MECANICAMENTE" localSheetId="13">#REF!</definedName>
    <definedName name="REATERRO_DE_VALAS_COMPACTADO_MECANICAMENTE" localSheetId="14">#REF!</definedName>
    <definedName name="REATERRO_DE_VALAS_COMPACTADO_MECANICAMENTE" localSheetId="15">#REF!</definedName>
    <definedName name="REATERRO_DE_VALAS_COMPACTADO_MECANICAMENTE" localSheetId="16">#REF!</definedName>
    <definedName name="REATERRO_DE_VALAS_COMPACTADO_MECANICAMENTE" localSheetId="17">#REF!</definedName>
    <definedName name="REATERRO_DE_VALAS_COMPACTADO_MECANICAMENTE" localSheetId="18">#REF!</definedName>
    <definedName name="REATERRO_DE_VALAS_COMPACTADO_MECANICAMENTE" localSheetId="20">#REF!</definedName>
    <definedName name="REATERRO_DE_VALAS_COMPACTADO_MECANICAMENTE" localSheetId="21">#REF!</definedName>
    <definedName name="REATERRO_DE_VALAS_COMPACTADO_MECANICAMENTE" localSheetId="7">#REF!</definedName>
    <definedName name="REATERRO_DE_VALAS_COMPACTADO_MECANICAMENTE" localSheetId="3">#REF!</definedName>
    <definedName name="REATERRO_DE_VALAS_COMPACTADO_MECANICAMENTE" localSheetId="11">#REF!</definedName>
    <definedName name="REATERRO_DE_VALAS_COMPACTADO_MECANICAMENTE">#REF!</definedName>
    <definedName name="REDE" localSheetId="13">Plan1</definedName>
    <definedName name="REDE" localSheetId="16">Plan1</definedName>
    <definedName name="REDE" localSheetId="20">Plan1</definedName>
    <definedName name="REDE" localSheetId="21">Plan1</definedName>
    <definedName name="REDE" localSheetId="11">Plan1</definedName>
    <definedName name="REDE">Plan1</definedName>
    <definedName name="REDE2">#REF!</definedName>
    <definedName name="REFEITO" localSheetId="22" hidden="1">{#N/A,#N/A,FALSE,"Plan1"}</definedName>
    <definedName name="REFEITO" localSheetId="7" hidden="1">{#N/A,#N/A,FALSE,"Plan1"}</definedName>
    <definedName name="REFEITO" hidden="1">{#N/A,#N/A,FALSE,"Plan1"}</definedName>
    <definedName name="REFERENCIA.Descricao" localSheetId="22" hidden="1">IF(ISNUMBER(#REF!),OFFSET(INDIRECT(ORÇAMENTO.BancoRef),#REF!-1,3,1),#REF!)</definedName>
    <definedName name="REFERENCIA.Descricao" hidden="1">IF(ISNUMBER(#REF!),OFFSET(INDIRECT(ORÇAMENTO.BancoRef),#REF!-1,3,1),#REF!)</definedName>
    <definedName name="REFERENCIA.Unidade" localSheetId="22" hidden="1">IF(ISNUMBER(#REF!),OFFSET(INDIRECT(ORÇAMENTO.BancoRef),#REF!-1,4,1),"-")</definedName>
    <definedName name="REFERENCIA.Unidade" hidden="1">IF(ISNUMBER(#REF!),OFFSET(INDIRECT(ORÇAMENTO.BancoRef),#REF!-1,4,1),"-")</definedName>
    <definedName name="relequip" localSheetId="13">#REF!</definedName>
    <definedName name="relequip" localSheetId="14">#REF!</definedName>
    <definedName name="relequip" localSheetId="15">#REF!</definedName>
    <definedName name="relequip" localSheetId="16">#REF!</definedName>
    <definedName name="relequip" localSheetId="17">#REF!</definedName>
    <definedName name="relequip" localSheetId="18">#REF!</definedName>
    <definedName name="relequip" localSheetId="20">#REF!</definedName>
    <definedName name="relequip" localSheetId="21">#REF!</definedName>
    <definedName name="relequip" localSheetId="7">#REF!</definedName>
    <definedName name="relequip" localSheetId="3">#REF!</definedName>
    <definedName name="relequip" localSheetId="11">#REF!</definedName>
    <definedName name="relequip">#REF!</definedName>
    <definedName name="RES_CPS" localSheetId="13">#REF!</definedName>
    <definedName name="RES_CPS" localSheetId="14">#REF!</definedName>
    <definedName name="RES_CPS" localSheetId="15">#REF!</definedName>
    <definedName name="RES_CPS" localSheetId="16">#REF!</definedName>
    <definedName name="RES_CPS" localSheetId="17">#REF!</definedName>
    <definedName name="RES_CPS" localSheetId="18">#REF!</definedName>
    <definedName name="RES_CPS" localSheetId="20">#REF!</definedName>
    <definedName name="RES_CPS" localSheetId="21">#REF!</definedName>
    <definedName name="RES_CPS" localSheetId="7">#REF!</definedName>
    <definedName name="RES_CPS" localSheetId="3">#REF!</definedName>
    <definedName name="RES_CPS" localSheetId="11">#REF!</definedName>
    <definedName name="RES_CPS">#REF!</definedName>
    <definedName name="RESUMO" localSheetId="22" hidden="1">{#N/A,#N/A,FALSE,"Plan1"}</definedName>
    <definedName name="RESUMO" localSheetId="7" hidden="1">{#N/A,#N/A,FALSE,"Plan1"}</definedName>
    <definedName name="RESUMO" hidden="1">{#N/A,#N/A,FALSE,"Plan1"}</definedName>
    <definedName name="RESUMO2">#REF!</definedName>
    <definedName name="RESVALORES">#REF!</definedName>
    <definedName name="rr" localSheetId="13">#REF!</definedName>
    <definedName name="rr" localSheetId="14">#REF!</definedName>
    <definedName name="rr" localSheetId="15">#REF!</definedName>
    <definedName name="rr" localSheetId="16">#REF!</definedName>
    <definedName name="rr" localSheetId="17">#REF!</definedName>
    <definedName name="rr" localSheetId="18">#REF!</definedName>
    <definedName name="rr" localSheetId="20">#REF!</definedName>
    <definedName name="rr" localSheetId="21">#REF!</definedName>
    <definedName name="rr" localSheetId="7">#REF!</definedName>
    <definedName name="rr" localSheetId="3">#REF!</definedName>
    <definedName name="rr" localSheetId="11">#REF!</definedName>
    <definedName name="rr">#REF!</definedName>
    <definedName name="rt">#REF!</definedName>
    <definedName name="RUA">#REF!</definedName>
    <definedName name="s" localSheetId="22">{#N/A,#N/A,FALSE,"MO (2)"}</definedName>
    <definedName name="S" localSheetId="7">#REF!</definedName>
    <definedName name="s" hidden="1">{#N/A,#N/A,FALSE,"MO (2)"}</definedName>
    <definedName name="Sal">#REF!</definedName>
    <definedName name="SANTA_INÊS">#REF!</definedName>
    <definedName name="SE_02_14" localSheetId="13">#REF!</definedName>
    <definedName name="SE_02_14" localSheetId="14">#REF!</definedName>
    <definedName name="SE_02_14" localSheetId="15">#REF!</definedName>
    <definedName name="SE_02_14" localSheetId="16">#REF!</definedName>
    <definedName name="SE_02_14" localSheetId="17">#REF!</definedName>
    <definedName name="SE_02_14" localSheetId="18">#REF!</definedName>
    <definedName name="SE_02_14" localSheetId="20">#REF!</definedName>
    <definedName name="SE_02_14" localSheetId="21">#REF!</definedName>
    <definedName name="SE_02_14" localSheetId="7">#REF!</definedName>
    <definedName name="SE_02_14" localSheetId="3">#REF!</definedName>
    <definedName name="SE_02_14" localSheetId="11">#REF!</definedName>
    <definedName name="SE_02_14">'[14]Planilha PROJETISTA'!#REF!</definedName>
    <definedName name="SEINFRA" localSheetId="13">#REF!</definedName>
    <definedName name="SEINFRA" localSheetId="14">#REF!</definedName>
    <definedName name="SEINFRA" localSheetId="15">#REF!</definedName>
    <definedName name="SEINFRA" localSheetId="16">#REF!</definedName>
    <definedName name="SEINFRA" localSheetId="17">#REF!</definedName>
    <definedName name="SEINFRA" localSheetId="18">#REF!</definedName>
    <definedName name="SEINFRA" localSheetId="20">#REF!</definedName>
    <definedName name="SEINFRA" localSheetId="21">#REF!</definedName>
    <definedName name="SEINFRA" localSheetId="7">#REF!</definedName>
    <definedName name="SEINFRA" localSheetId="3">#REF!</definedName>
    <definedName name="SEINFRA" localSheetId="11">#REF!</definedName>
    <definedName name="SEINFRA">#REF!</definedName>
    <definedName name="sencount" hidden="1">1</definedName>
    <definedName name="senha" localSheetId="13">#REF!</definedName>
    <definedName name="senha" localSheetId="14">#REF!</definedName>
    <definedName name="senha" localSheetId="15">#REF!</definedName>
    <definedName name="senha" localSheetId="16">#REF!</definedName>
    <definedName name="senha" localSheetId="17">#REF!</definedName>
    <definedName name="senha" localSheetId="18">#REF!</definedName>
    <definedName name="senha" localSheetId="20">#REF!</definedName>
    <definedName name="senha" localSheetId="21">#REF!</definedName>
    <definedName name="senha" localSheetId="3">#REF!</definedName>
    <definedName name="senha" localSheetId="11">#REF!</definedName>
    <definedName name="senha">#REF!</definedName>
    <definedName name="serv" localSheetId="13">#REF!</definedName>
    <definedName name="serv" localSheetId="14">#REF!</definedName>
    <definedName name="serv" localSheetId="15">#REF!</definedName>
    <definedName name="serv" localSheetId="16">#REF!</definedName>
    <definedName name="serv" localSheetId="17">#REF!</definedName>
    <definedName name="serv" localSheetId="18">#REF!</definedName>
    <definedName name="serv" localSheetId="20">#REF!</definedName>
    <definedName name="serv" localSheetId="21">#REF!</definedName>
    <definedName name="serv" localSheetId="7">#REF!</definedName>
    <definedName name="serv" localSheetId="3">#REF!</definedName>
    <definedName name="serv" localSheetId="11">#REF!</definedName>
    <definedName name="serv">#REF!</definedName>
    <definedName name="servico" localSheetId="13">#REF!</definedName>
    <definedName name="servico" localSheetId="14">#REF!</definedName>
    <definedName name="servico" localSheetId="15">#REF!</definedName>
    <definedName name="servico" localSheetId="16">#REF!</definedName>
    <definedName name="servico" localSheetId="17">#REF!</definedName>
    <definedName name="servico" localSheetId="18">#REF!</definedName>
    <definedName name="servico" localSheetId="20">#REF!</definedName>
    <definedName name="servico" localSheetId="21">#REF!</definedName>
    <definedName name="servico" localSheetId="7">#REF!</definedName>
    <definedName name="servico" localSheetId="3">#REF!</definedName>
    <definedName name="servico" localSheetId="11">#REF!</definedName>
    <definedName name="servico">#REF!</definedName>
    <definedName name="SG_01_01_1" localSheetId="13">#REF!</definedName>
    <definedName name="SG_01_01_1" localSheetId="14">#REF!</definedName>
    <definedName name="SG_01_01_1" localSheetId="15">#REF!</definedName>
    <definedName name="SG_01_01_1" localSheetId="16">#REF!</definedName>
    <definedName name="SG_01_01_1" localSheetId="17">#REF!</definedName>
    <definedName name="SG_01_01_1" localSheetId="18">#REF!</definedName>
    <definedName name="SG_01_01_1" localSheetId="20">#REF!</definedName>
    <definedName name="SG_01_01_1" localSheetId="21">#REF!</definedName>
    <definedName name="SG_01_01_1" localSheetId="7">#REF!</definedName>
    <definedName name="SG_01_01_1" localSheetId="3">#REF!</definedName>
    <definedName name="SG_01_01_1" localSheetId="11">#REF!</definedName>
    <definedName name="SG_01_01_1">[5]RESUMO!#REF!</definedName>
    <definedName name="SG_01_02_1" localSheetId="13">#REF!</definedName>
    <definedName name="SG_01_02_1" localSheetId="14">#REF!</definedName>
    <definedName name="SG_01_02_1" localSheetId="15">#REF!</definedName>
    <definedName name="SG_01_02_1" localSheetId="16">#REF!</definedName>
    <definedName name="SG_01_02_1" localSheetId="17">#REF!</definedName>
    <definedName name="SG_01_02_1" localSheetId="18">#REF!</definedName>
    <definedName name="SG_01_02_1" localSheetId="20">#REF!</definedName>
    <definedName name="SG_01_02_1" localSheetId="21">#REF!</definedName>
    <definedName name="SG_01_02_1" localSheetId="7">#REF!</definedName>
    <definedName name="SG_01_02_1" localSheetId="3">#REF!</definedName>
    <definedName name="SG_01_02_1" localSheetId="11">#REF!</definedName>
    <definedName name="SG_01_02_1">[5]RESUMO!#REF!</definedName>
    <definedName name="SG_01_03_1" localSheetId="13">#REF!</definedName>
    <definedName name="SG_01_03_1" localSheetId="14">#REF!</definedName>
    <definedName name="SG_01_03_1" localSheetId="15">#REF!</definedName>
    <definedName name="SG_01_03_1" localSheetId="16">#REF!</definedName>
    <definedName name="SG_01_03_1" localSheetId="17">#REF!</definedName>
    <definedName name="SG_01_03_1" localSheetId="18">#REF!</definedName>
    <definedName name="SG_01_03_1" localSheetId="20">#REF!</definedName>
    <definedName name="SG_01_03_1" localSheetId="21">#REF!</definedName>
    <definedName name="SG_01_03_1" localSheetId="7">#REF!</definedName>
    <definedName name="SG_01_03_1" localSheetId="3">#REF!</definedName>
    <definedName name="SG_01_03_1" localSheetId="11">#REF!</definedName>
    <definedName name="SG_01_03_1">[5]RESUMO!#REF!</definedName>
    <definedName name="SG_01_04" localSheetId="13">#REF!</definedName>
    <definedName name="SG_01_04" localSheetId="14">#REF!</definedName>
    <definedName name="SG_01_04" localSheetId="15">#REF!</definedName>
    <definedName name="SG_01_04" localSheetId="16">#REF!</definedName>
    <definedName name="SG_01_04" localSheetId="17">#REF!</definedName>
    <definedName name="SG_01_04" localSheetId="18">#REF!</definedName>
    <definedName name="SG_01_04" localSheetId="20">#REF!</definedName>
    <definedName name="SG_01_04" localSheetId="21">#REF!</definedName>
    <definedName name="SG_01_04" localSheetId="7">#REF!</definedName>
    <definedName name="SG_01_04" localSheetId="3">#REF!</definedName>
    <definedName name="SG_01_04" localSheetId="11">#REF!</definedName>
    <definedName name="SG_01_04">'[14]Planilha PROJETISTA'!#REF!</definedName>
    <definedName name="SG_01_04_1" localSheetId="13">#REF!</definedName>
    <definedName name="SG_01_04_1" localSheetId="14">#REF!</definedName>
    <definedName name="SG_01_04_1" localSheetId="15">#REF!</definedName>
    <definedName name="SG_01_04_1" localSheetId="16">#REF!</definedName>
    <definedName name="SG_01_04_1" localSheetId="17">#REF!</definedName>
    <definedName name="SG_01_04_1" localSheetId="18">#REF!</definedName>
    <definedName name="SG_01_04_1" localSheetId="20">#REF!</definedName>
    <definedName name="SG_01_04_1" localSheetId="21">#REF!</definedName>
    <definedName name="SG_01_04_1" localSheetId="7">#REF!</definedName>
    <definedName name="SG_01_04_1" localSheetId="3">#REF!</definedName>
    <definedName name="SG_01_04_1" localSheetId="11">#REF!</definedName>
    <definedName name="SG_01_04_1">[5]RESUMO!#REF!</definedName>
    <definedName name="SG_01_05" localSheetId="13">#REF!</definedName>
    <definedName name="SG_01_05" localSheetId="14">#REF!</definedName>
    <definedName name="SG_01_05" localSheetId="15">#REF!</definedName>
    <definedName name="SG_01_05" localSheetId="16">#REF!</definedName>
    <definedName name="SG_01_05" localSheetId="17">#REF!</definedName>
    <definedName name="SG_01_05" localSheetId="18">#REF!</definedName>
    <definedName name="SG_01_05" localSheetId="20">#REF!</definedName>
    <definedName name="SG_01_05" localSheetId="21">#REF!</definedName>
    <definedName name="SG_01_05" localSheetId="7">#REF!</definedName>
    <definedName name="SG_01_05" localSheetId="3">#REF!</definedName>
    <definedName name="SG_01_05" localSheetId="11">#REF!</definedName>
    <definedName name="SG_01_05">'[14]Planilha PROJETISTA'!#REF!</definedName>
    <definedName name="SG_01_05_1" localSheetId="13">#REF!</definedName>
    <definedName name="SG_01_05_1" localSheetId="14">#REF!</definedName>
    <definedName name="SG_01_05_1" localSheetId="15">#REF!</definedName>
    <definedName name="SG_01_05_1" localSheetId="16">#REF!</definedName>
    <definedName name="SG_01_05_1" localSheetId="17">#REF!</definedName>
    <definedName name="SG_01_05_1" localSheetId="18">#REF!</definedName>
    <definedName name="SG_01_05_1" localSheetId="20">#REF!</definedName>
    <definedName name="SG_01_05_1" localSheetId="21">#REF!</definedName>
    <definedName name="SG_01_05_1" localSheetId="7">#REF!</definedName>
    <definedName name="SG_01_05_1" localSheetId="3">#REF!</definedName>
    <definedName name="SG_01_05_1" localSheetId="11">#REF!</definedName>
    <definedName name="SG_01_05_1">[5]RESUMO!#REF!</definedName>
    <definedName name="SG_01_06" localSheetId="13">#REF!</definedName>
    <definedName name="SG_01_06" localSheetId="14">#REF!</definedName>
    <definedName name="SG_01_06" localSheetId="15">#REF!</definedName>
    <definedName name="SG_01_06" localSheetId="16">#REF!</definedName>
    <definedName name="SG_01_06" localSheetId="17">#REF!</definedName>
    <definedName name="SG_01_06" localSheetId="18">#REF!</definedName>
    <definedName name="SG_01_06" localSheetId="20">#REF!</definedName>
    <definedName name="SG_01_06" localSheetId="21">#REF!</definedName>
    <definedName name="SG_01_06" localSheetId="7">#REF!</definedName>
    <definedName name="SG_01_06" localSheetId="3">#REF!</definedName>
    <definedName name="SG_01_06" localSheetId="11">#REF!</definedName>
    <definedName name="SG_01_06">'[14]Planilha PROJETISTA'!#REF!</definedName>
    <definedName name="SG_01_06_1" localSheetId="13">#REF!</definedName>
    <definedName name="SG_01_06_1" localSheetId="14">#REF!</definedName>
    <definedName name="SG_01_06_1" localSheetId="15">#REF!</definedName>
    <definedName name="SG_01_06_1" localSheetId="16">#REF!</definedName>
    <definedName name="SG_01_06_1" localSheetId="17">#REF!</definedName>
    <definedName name="SG_01_06_1" localSheetId="18">#REF!</definedName>
    <definedName name="SG_01_06_1" localSheetId="20">#REF!</definedName>
    <definedName name="SG_01_06_1" localSheetId="21">#REF!</definedName>
    <definedName name="SG_01_06_1" localSheetId="7">#REF!</definedName>
    <definedName name="SG_01_06_1" localSheetId="3">#REF!</definedName>
    <definedName name="SG_01_06_1" localSheetId="11">#REF!</definedName>
    <definedName name="SG_01_06_1">[5]RESUMO!#REF!</definedName>
    <definedName name="SG_01_07" localSheetId="13">#REF!</definedName>
    <definedName name="SG_01_07" localSheetId="14">#REF!</definedName>
    <definedName name="SG_01_07" localSheetId="15">#REF!</definedName>
    <definedName name="SG_01_07" localSheetId="16">#REF!</definedName>
    <definedName name="SG_01_07" localSheetId="17">#REF!</definedName>
    <definedName name="SG_01_07" localSheetId="18">#REF!</definedName>
    <definedName name="SG_01_07" localSheetId="20">#REF!</definedName>
    <definedName name="SG_01_07" localSheetId="21">#REF!</definedName>
    <definedName name="SG_01_07" localSheetId="7">#REF!</definedName>
    <definedName name="SG_01_07" localSheetId="3">#REF!</definedName>
    <definedName name="SG_01_07" localSheetId="11">#REF!</definedName>
    <definedName name="SG_01_07">'[14]Planilha PROJETISTA'!#REF!</definedName>
    <definedName name="SG_01_07_1" localSheetId="13">#REF!</definedName>
    <definedName name="SG_01_07_1" localSheetId="14">#REF!</definedName>
    <definedName name="SG_01_07_1" localSheetId="15">#REF!</definedName>
    <definedName name="SG_01_07_1" localSheetId="16">#REF!</definedName>
    <definedName name="SG_01_07_1" localSheetId="17">#REF!</definedName>
    <definedName name="SG_01_07_1" localSheetId="18">#REF!</definedName>
    <definedName name="SG_01_07_1" localSheetId="20">#REF!</definedName>
    <definedName name="SG_01_07_1" localSheetId="21">#REF!</definedName>
    <definedName name="SG_01_07_1" localSheetId="7">#REF!</definedName>
    <definedName name="SG_01_07_1" localSheetId="3">#REF!</definedName>
    <definedName name="SG_01_07_1" localSheetId="11">#REF!</definedName>
    <definedName name="SG_01_07_1">[5]RESUMO!#REF!</definedName>
    <definedName name="SG_01_08" localSheetId="13">#REF!</definedName>
    <definedName name="SG_01_08" localSheetId="14">#REF!</definedName>
    <definedName name="SG_01_08" localSheetId="15">#REF!</definedName>
    <definedName name="SG_01_08" localSheetId="16">#REF!</definedName>
    <definedName name="SG_01_08" localSheetId="17">#REF!</definedName>
    <definedName name="SG_01_08" localSheetId="18">#REF!</definedName>
    <definedName name="SG_01_08" localSheetId="20">#REF!</definedName>
    <definedName name="SG_01_08" localSheetId="21">#REF!</definedName>
    <definedName name="SG_01_08" localSheetId="7">#REF!</definedName>
    <definedName name="SG_01_08" localSheetId="3">#REF!</definedName>
    <definedName name="SG_01_08" localSheetId="11">#REF!</definedName>
    <definedName name="SG_01_08">'[14]Planilha PROJETISTA'!#REF!</definedName>
    <definedName name="SG_01_08_1" localSheetId="13">#REF!</definedName>
    <definedName name="SG_01_08_1" localSheetId="14">#REF!</definedName>
    <definedName name="SG_01_08_1" localSheetId="15">#REF!</definedName>
    <definedName name="SG_01_08_1" localSheetId="16">#REF!</definedName>
    <definedName name="SG_01_08_1" localSheetId="17">#REF!</definedName>
    <definedName name="SG_01_08_1" localSheetId="18">#REF!</definedName>
    <definedName name="SG_01_08_1" localSheetId="20">#REF!</definedName>
    <definedName name="SG_01_08_1" localSheetId="21">#REF!</definedName>
    <definedName name="SG_01_08_1" localSheetId="7">#REF!</definedName>
    <definedName name="SG_01_08_1" localSheetId="3">#REF!</definedName>
    <definedName name="SG_01_08_1" localSheetId="11">#REF!</definedName>
    <definedName name="SG_01_08_1">[5]RESUMO!#REF!</definedName>
    <definedName name="SG_01_09" localSheetId="13">#REF!</definedName>
    <definedName name="SG_01_09" localSheetId="14">#REF!</definedName>
    <definedName name="SG_01_09" localSheetId="15">#REF!</definedName>
    <definedName name="SG_01_09" localSheetId="16">#REF!</definedName>
    <definedName name="SG_01_09" localSheetId="17">#REF!</definedName>
    <definedName name="SG_01_09" localSheetId="18">#REF!</definedName>
    <definedName name="SG_01_09" localSheetId="20">#REF!</definedName>
    <definedName name="SG_01_09" localSheetId="21">#REF!</definedName>
    <definedName name="SG_01_09" localSheetId="7">#REF!</definedName>
    <definedName name="SG_01_09" localSheetId="3">#REF!</definedName>
    <definedName name="SG_01_09" localSheetId="11">#REF!</definedName>
    <definedName name="SG_01_09">'[14]Planilha PROJETISTA'!#REF!</definedName>
    <definedName name="SG_01_09_1" localSheetId="13">#REF!</definedName>
    <definedName name="SG_01_09_1" localSheetId="14">#REF!</definedName>
    <definedName name="SG_01_09_1" localSheetId="15">#REF!</definedName>
    <definedName name="SG_01_09_1" localSheetId="16">#REF!</definedName>
    <definedName name="SG_01_09_1" localSheetId="17">#REF!</definedName>
    <definedName name="SG_01_09_1" localSheetId="18">#REF!</definedName>
    <definedName name="SG_01_09_1" localSheetId="20">#REF!</definedName>
    <definedName name="SG_01_09_1" localSheetId="21">#REF!</definedName>
    <definedName name="SG_01_09_1" localSheetId="7">#REF!</definedName>
    <definedName name="SG_01_09_1" localSheetId="3">#REF!</definedName>
    <definedName name="SG_01_09_1" localSheetId="11">#REF!</definedName>
    <definedName name="SG_01_09_1">[5]RESUMO!#REF!</definedName>
    <definedName name="SG_01_10" localSheetId="13">#REF!</definedName>
    <definedName name="SG_01_10" localSheetId="14">#REF!</definedName>
    <definedName name="SG_01_10" localSheetId="15">#REF!</definedName>
    <definedName name="SG_01_10" localSheetId="16">#REF!</definedName>
    <definedName name="SG_01_10" localSheetId="17">#REF!</definedName>
    <definedName name="SG_01_10" localSheetId="18">#REF!</definedName>
    <definedName name="SG_01_10" localSheetId="20">#REF!</definedName>
    <definedName name="SG_01_10" localSheetId="21">#REF!</definedName>
    <definedName name="SG_01_10" localSheetId="7">#REF!</definedName>
    <definedName name="SG_01_10" localSheetId="3">#REF!</definedName>
    <definedName name="SG_01_10" localSheetId="11">#REF!</definedName>
    <definedName name="SG_01_10">'[14]Planilha PROJETISTA'!#REF!</definedName>
    <definedName name="SG_01_10_1" localSheetId="13">#REF!</definedName>
    <definedName name="SG_01_10_1" localSheetId="14">#REF!</definedName>
    <definedName name="SG_01_10_1" localSheetId="15">#REF!</definedName>
    <definedName name="SG_01_10_1" localSheetId="16">#REF!</definedName>
    <definedName name="SG_01_10_1" localSheetId="17">#REF!</definedName>
    <definedName name="SG_01_10_1" localSheetId="18">#REF!</definedName>
    <definedName name="SG_01_10_1" localSheetId="20">#REF!</definedName>
    <definedName name="SG_01_10_1" localSheetId="21">#REF!</definedName>
    <definedName name="SG_01_10_1" localSheetId="7">#REF!</definedName>
    <definedName name="SG_01_10_1" localSheetId="3">#REF!</definedName>
    <definedName name="SG_01_10_1" localSheetId="11">#REF!</definedName>
    <definedName name="SG_01_10_1">[5]RESUMO!#REF!</definedName>
    <definedName name="SG_01_11" localSheetId="13">#REF!</definedName>
    <definedName name="SG_01_11" localSheetId="14">#REF!</definedName>
    <definedName name="SG_01_11" localSheetId="15">#REF!</definedName>
    <definedName name="SG_01_11" localSheetId="16">#REF!</definedName>
    <definedName name="SG_01_11" localSheetId="17">#REF!</definedName>
    <definedName name="SG_01_11" localSheetId="18">#REF!</definedName>
    <definedName name="SG_01_11" localSheetId="20">#REF!</definedName>
    <definedName name="SG_01_11" localSheetId="21">#REF!</definedName>
    <definedName name="SG_01_11" localSheetId="7">#REF!</definedName>
    <definedName name="SG_01_11" localSheetId="3">#REF!</definedName>
    <definedName name="SG_01_11" localSheetId="11">#REF!</definedName>
    <definedName name="SG_01_11">'[14]Planilha PROJETISTA'!#REF!</definedName>
    <definedName name="SG_01_11_1" localSheetId="13">#REF!</definedName>
    <definedName name="SG_01_11_1" localSheetId="14">#REF!</definedName>
    <definedName name="SG_01_11_1" localSheetId="15">#REF!</definedName>
    <definedName name="SG_01_11_1" localSheetId="16">#REF!</definedName>
    <definedName name="SG_01_11_1" localSheetId="17">#REF!</definedName>
    <definedName name="SG_01_11_1" localSheetId="18">#REF!</definedName>
    <definedName name="SG_01_11_1" localSheetId="20">#REF!</definedName>
    <definedName name="SG_01_11_1" localSheetId="21">#REF!</definedName>
    <definedName name="SG_01_11_1" localSheetId="7">#REF!</definedName>
    <definedName name="SG_01_11_1" localSheetId="3">#REF!</definedName>
    <definedName name="SG_01_11_1" localSheetId="11">#REF!</definedName>
    <definedName name="SG_01_11_1">[5]RESUMO!#REF!</definedName>
    <definedName name="SG_01_12" localSheetId="13">#REF!</definedName>
    <definedName name="SG_01_12" localSheetId="14">#REF!</definedName>
    <definedName name="SG_01_12" localSheetId="15">#REF!</definedName>
    <definedName name="SG_01_12" localSheetId="16">#REF!</definedName>
    <definedName name="SG_01_12" localSheetId="17">#REF!</definedName>
    <definedName name="SG_01_12" localSheetId="18">#REF!</definedName>
    <definedName name="SG_01_12" localSheetId="20">#REF!</definedName>
    <definedName name="SG_01_12" localSheetId="21">#REF!</definedName>
    <definedName name="SG_01_12" localSheetId="7">#REF!</definedName>
    <definedName name="SG_01_12" localSheetId="3">#REF!</definedName>
    <definedName name="SG_01_12" localSheetId="11">#REF!</definedName>
    <definedName name="SG_01_12">'[14]Planilha PROJETISTA'!#REF!</definedName>
    <definedName name="SG_01_12_1" localSheetId="13">#REF!</definedName>
    <definedName name="SG_01_12_1" localSheetId="14">#REF!</definedName>
    <definedName name="SG_01_12_1" localSheetId="15">#REF!</definedName>
    <definedName name="SG_01_12_1" localSheetId="16">#REF!</definedName>
    <definedName name="SG_01_12_1" localSheetId="17">#REF!</definedName>
    <definedName name="SG_01_12_1" localSheetId="18">#REF!</definedName>
    <definedName name="SG_01_12_1" localSheetId="20">#REF!</definedName>
    <definedName name="SG_01_12_1" localSheetId="21">#REF!</definedName>
    <definedName name="SG_01_12_1" localSheetId="7">#REF!</definedName>
    <definedName name="SG_01_12_1" localSheetId="3">#REF!</definedName>
    <definedName name="SG_01_12_1" localSheetId="11">#REF!</definedName>
    <definedName name="SG_01_12_1">[5]RESUMO!#REF!</definedName>
    <definedName name="SG_01_13" localSheetId="13">#REF!</definedName>
    <definedName name="SG_01_13" localSheetId="14">#REF!</definedName>
    <definedName name="SG_01_13" localSheetId="15">#REF!</definedName>
    <definedName name="SG_01_13" localSheetId="16">#REF!</definedName>
    <definedName name="SG_01_13" localSheetId="17">#REF!</definedName>
    <definedName name="SG_01_13" localSheetId="18">#REF!</definedName>
    <definedName name="SG_01_13" localSheetId="20">#REF!</definedName>
    <definedName name="SG_01_13" localSheetId="21">#REF!</definedName>
    <definedName name="SG_01_13" localSheetId="7">#REF!</definedName>
    <definedName name="SG_01_13" localSheetId="3">#REF!</definedName>
    <definedName name="SG_01_13" localSheetId="11">#REF!</definedName>
    <definedName name="SG_01_13">'[14]Planilha PROJETISTA'!#REF!</definedName>
    <definedName name="SG_01_13_1" localSheetId="13">#REF!</definedName>
    <definedName name="SG_01_13_1" localSheetId="14">#REF!</definedName>
    <definedName name="SG_01_13_1" localSheetId="15">#REF!</definedName>
    <definedName name="SG_01_13_1" localSheetId="16">#REF!</definedName>
    <definedName name="SG_01_13_1" localSheetId="17">#REF!</definedName>
    <definedName name="SG_01_13_1" localSheetId="18">#REF!</definedName>
    <definedName name="SG_01_13_1" localSheetId="20">#REF!</definedName>
    <definedName name="SG_01_13_1" localSheetId="21">#REF!</definedName>
    <definedName name="SG_01_13_1" localSheetId="7">#REF!</definedName>
    <definedName name="SG_01_13_1" localSheetId="3">#REF!</definedName>
    <definedName name="SG_01_13_1" localSheetId="11">#REF!</definedName>
    <definedName name="SG_01_13_1">[5]RESUMO!#REF!</definedName>
    <definedName name="SG_01_14" localSheetId="13">#REF!</definedName>
    <definedName name="SG_01_14" localSheetId="14">#REF!</definedName>
    <definedName name="SG_01_14" localSheetId="15">#REF!</definedName>
    <definedName name="SG_01_14" localSheetId="16">#REF!</definedName>
    <definedName name="SG_01_14" localSheetId="17">#REF!</definedName>
    <definedName name="SG_01_14" localSheetId="18">#REF!</definedName>
    <definedName name="SG_01_14" localSheetId="20">#REF!</definedName>
    <definedName name="SG_01_14" localSheetId="21">#REF!</definedName>
    <definedName name="SG_01_14" localSheetId="7">#REF!</definedName>
    <definedName name="SG_01_14" localSheetId="3">#REF!</definedName>
    <definedName name="SG_01_14" localSheetId="11">#REF!</definedName>
    <definedName name="SG_01_14">'[14]Planilha PROJETISTA'!#REF!</definedName>
    <definedName name="SG_01_14_1" localSheetId="13">#REF!</definedName>
    <definedName name="SG_01_14_1" localSheetId="14">#REF!</definedName>
    <definedName name="SG_01_14_1" localSheetId="15">#REF!</definedName>
    <definedName name="SG_01_14_1" localSheetId="16">#REF!</definedName>
    <definedName name="SG_01_14_1" localSheetId="17">#REF!</definedName>
    <definedName name="SG_01_14_1" localSheetId="18">#REF!</definedName>
    <definedName name="SG_01_14_1" localSheetId="20">#REF!</definedName>
    <definedName name="SG_01_14_1" localSheetId="21">#REF!</definedName>
    <definedName name="SG_01_14_1" localSheetId="7">#REF!</definedName>
    <definedName name="SG_01_14_1" localSheetId="3">#REF!</definedName>
    <definedName name="SG_01_14_1" localSheetId="11">#REF!</definedName>
    <definedName name="SG_01_14_1">[5]RESUMO!#REF!</definedName>
    <definedName name="SG_01_15" localSheetId="13">#REF!</definedName>
    <definedName name="SG_01_15" localSheetId="14">#REF!</definedName>
    <definedName name="SG_01_15" localSheetId="15">#REF!</definedName>
    <definedName name="SG_01_15" localSheetId="16">#REF!</definedName>
    <definedName name="SG_01_15" localSheetId="17">#REF!</definedName>
    <definedName name="SG_01_15" localSheetId="18">#REF!</definedName>
    <definedName name="SG_01_15" localSheetId="20">#REF!</definedName>
    <definedName name="SG_01_15" localSheetId="21">#REF!</definedName>
    <definedName name="SG_01_15" localSheetId="7">#REF!</definedName>
    <definedName name="SG_01_15" localSheetId="3">#REF!</definedName>
    <definedName name="SG_01_15" localSheetId="11">#REF!</definedName>
    <definedName name="SG_01_15">'[14]Planilha PROJETISTA'!#REF!</definedName>
    <definedName name="SG_01_15_1" localSheetId="13">#REF!</definedName>
    <definedName name="SG_01_15_1" localSheetId="14">#REF!</definedName>
    <definedName name="SG_01_15_1" localSheetId="15">#REF!</definedName>
    <definedName name="SG_01_15_1" localSheetId="16">#REF!</definedName>
    <definedName name="SG_01_15_1" localSheetId="17">#REF!</definedName>
    <definedName name="SG_01_15_1" localSheetId="18">#REF!</definedName>
    <definedName name="SG_01_15_1" localSheetId="20">#REF!</definedName>
    <definedName name="SG_01_15_1" localSheetId="21">#REF!</definedName>
    <definedName name="SG_01_15_1" localSheetId="7">#REF!</definedName>
    <definedName name="SG_01_15_1" localSheetId="3">#REF!</definedName>
    <definedName name="SG_01_15_1" localSheetId="11">#REF!</definedName>
    <definedName name="SG_01_15_1">[5]RESUMO!#REF!</definedName>
    <definedName name="SG_01_16" localSheetId="13">#REF!</definedName>
    <definedName name="SG_01_16" localSheetId="14">#REF!</definedName>
    <definedName name="SG_01_16" localSheetId="15">#REF!</definedName>
    <definedName name="SG_01_16" localSheetId="16">#REF!</definedName>
    <definedName name="SG_01_16" localSheetId="17">#REF!</definedName>
    <definedName name="SG_01_16" localSheetId="18">#REF!</definedName>
    <definedName name="SG_01_16" localSheetId="20">#REF!</definedName>
    <definedName name="SG_01_16" localSheetId="21">#REF!</definedName>
    <definedName name="SG_01_16" localSheetId="7">#REF!</definedName>
    <definedName name="SG_01_16" localSheetId="3">#REF!</definedName>
    <definedName name="SG_01_16" localSheetId="11">#REF!</definedName>
    <definedName name="SG_01_16">'[14]Planilha PROJETISTA'!#REF!</definedName>
    <definedName name="SG_01_16_1" localSheetId="13">#REF!</definedName>
    <definedName name="SG_01_16_1" localSheetId="14">#REF!</definedName>
    <definedName name="SG_01_16_1" localSheetId="15">#REF!</definedName>
    <definedName name="SG_01_16_1" localSheetId="16">#REF!</definedName>
    <definedName name="SG_01_16_1" localSheetId="17">#REF!</definedName>
    <definedName name="SG_01_16_1" localSheetId="18">#REF!</definedName>
    <definedName name="SG_01_16_1" localSheetId="20">#REF!</definedName>
    <definedName name="SG_01_16_1" localSheetId="21">#REF!</definedName>
    <definedName name="SG_01_16_1" localSheetId="7">#REF!</definedName>
    <definedName name="SG_01_16_1" localSheetId="3">#REF!</definedName>
    <definedName name="SG_01_16_1" localSheetId="11">#REF!</definedName>
    <definedName name="SG_01_16_1">[5]RESUMO!#REF!</definedName>
    <definedName name="SG_01_17" localSheetId="13">#REF!</definedName>
    <definedName name="SG_01_17" localSheetId="14">#REF!</definedName>
    <definedName name="SG_01_17" localSheetId="15">#REF!</definedName>
    <definedName name="SG_01_17" localSheetId="16">#REF!</definedName>
    <definedName name="SG_01_17" localSheetId="17">#REF!</definedName>
    <definedName name="SG_01_17" localSheetId="18">#REF!</definedName>
    <definedName name="SG_01_17" localSheetId="20">#REF!</definedName>
    <definedName name="SG_01_17" localSheetId="21">#REF!</definedName>
    <definedName name="SG_01_17" localSheetId="7">#REF!</definedName>
    <definedName name="SG_01_17" localSheetId="3">#REF!</definedName>
    <definedName name="SG_01_17" localSheetId="11">#REF!</definedName>
    <definedName name="SG_01_17">'[14]Planilha PROJETISTA'!#REF!</definedName>
    <definedName name="SG_01_17_1" localSheetId="13">#REF!</definedName>
    <definedName name="SG_01_17_1" localSheetId="14">#REF!</definedName>
    <definedName name="SG_01_17_1" localSheetId="15">#REF!</definedName>
    <definedName name="SG_01_17_1" localSheetId="16">#REF!</definedName>
    <definedName name="SG_01_17_1" localSheetId="17">#REF!</definedName>
    <definedName name="SG_01_17_1" localSheetId="18">#REF!</definedName>
    <definedName name="SG_01_17_1" localSheetId="20">#REF!</definedName>
    <definedName name="SG_01_17_1" localSheetId="21">#REF!</definedName>
    <definedName name="SG_01_17_1" localSheetId="7">#REF!</definedName>
    <definedName name="SG_01_17_1" localSheetId="3">#REF!</definedName>
    <definedName name="SG_01_17_1" localSheetId="11">#REF!</definedName>
    <definedName name="SG_01_17_1">[5]RESUMO!#REF!</definedName>
    <definedName name="SG_01_18" localSheetId="13">#REF!</definedName>
    <definedName name="SG_01_18" localSheetId="14">#REF!</definedName>
    <definedName name="SG_01_18" localSheetId="15">#REF!</definedName>
    <definedName name="SG_01_18" localSheetId="16">#REF!</definedName>
    <definedName name="SG_01_18" localSheetId="17">#REF!</definedName>
    <definedName name="SG_01_18" localSheetId="18">#REF!</definedName>
    <definedName name="SG_01_18" localSheetId="20">#REF!</definedName>
    <definedName name="SG_01_18" localSheetId="21">#REF!</definedName>
    <definedName name="SG_01_18" localSheetId="7">#REF!</definedName>
    <definedName name="SG_01_18" localSheetId="3">#REF!</definedName>
    <definedName name="SG_01_18" localSheetId="11">#REF!</definedName>
    <definedName name="SG_01_18">'[14]Planilha PROJETISTA'!#REF!</definedName>
    <definedName name="SG_01_18_1" localSheetId="13">#REF!</definedName>
    <definedName name="SG_01_18_1" localSheetId="14">#REF!</definedName>
    <definedName name="SG_01_18_1" localSheetId="15">#REF!</definedName>
    <definedName name="SG_01_18_1" localSheetId="16">#REF!</definedName>
    <definedName name="SG_01_18_1" localSheetId="17">#REF!</definedName>
    <definedName name="SG_01_18_1" localSheetId="18">#REF!</definedName>
    <definedName name="SG_01_18_1" localSheetId="20">#REF!</definedName>
    <definedName name="SG_01_18_1" localSheetId="21">#REF!</definedName>
    <definedName name="SG_01_18_1" localSheetId="7">#REF!</definedName>
    <definedName name="SG_01_18_1" localSheetId="3">#REF!</definedName>
    <definedName name="SG_01_18_1" localSheetId="11">#REF!</definedName>
    <definedName name="SG_01_18_1">[5]RESUMO!#REF!</definedName>
    <definedName name="SG_01_19" localSheetId="13">#REF!</definedName>
    <definedName name="SG_01_19" localSheetId="14">#REF!</definedName>
    <definedName name="SG_01_19" localSheetId="15">#REF!</definedName>
    <definedName name="SG_01_19" localSheetId="16">#REF!</definedName>
    <definedName name="SG_01_19" localSheetId="17">#REF!</definedName>
    <definedName name="SG_01_19" localSheetId="18">#REF!</definedName>
    <definedName name="SG_01_19" localSheetId="20">#REF!</definedName>
    <definedName name="SG_01_19" localSheetId="21">#REF!</definedName>
    <definedName name="SG_01_19" localSheetId="7">#REF!</definedName>
    <definedName name="SG_01_19" localSheetId="3">#REF!</definedName>
    <definedName name="SG_01_19" localSheetId="11">#REF!</definedName>
    <definedName name="SG_01_19">'[14]Planilha PROJETISTA'!#REF!</definedName>
    <definedName name="SG_01_19_1" localSheetId="13">#REF!</definedName>
    <definedName name="SG_01_19_1" localSheetId="14">#REF!</definedName>
    <definedName name="SG_01_19_1" localSheetId="15">#REF!</definedName>
    <definedName name="SG_01_19_1" localSheetId="16">#REF!</definedName>
    <definedName name="SG_01_19_1" localSheetId="17">#REF!</definedName>
    <definedName name="SG_01_19_1" localSheetId="18">#REF!</definedName>
    <definedName name="SG_01_19_1" localSheetId="20">#REF!</definedName>
    <definedName name="SG_01_19_1" localSheetId="21">#REF!</definedName>
    <definedName name="SG_01_19_1" localSheetId="7">#REF!</definedName>
    <definedName name="SG_01_19_1" localSheetId="3">#REF!</definedName>
    <definedName name="SG_01_19_1" localSheetId="11">#REF!</definedName>
    <definedName name="SG_01_19_1">[5]RESUMO!#REF!</definedName>
    <definedName name="SG_01_20" localSheetId="13">#REF!</definedName>
    <definedName name="SG_01_20" localSheetId="14">#REF!</definedName>
    <definedName name="SG_01_20" localSheetId="15">#REF!</definedName>
    <definedName name="SG_01_20" localSheetId="16">#REF!</definedName>
    <definedName name="SG_01_20" localSheetId="17">#REF!</definedName>
    <definedName name="SG_01_20" localSheetId="18">#REF!</definedName>
    <definedName name="SG_01_20" localSheetId="20">#REF!</definedName>
    <definedName name="SG_01_20" localSheetId="21">#REF!</definedName>
    <definedName name="SG_01_20" localSheetId="7">#REF!</definedName>
    <definedName name="SG_01_20" localSheetId="3">#REF!</definedName>
    <definedName name="SG_01_20" localSheetId="11">#REF!</definedName>
    <definedName name="SG_01_20">'[14]Planilha PROJETISTA'!#REF!</definedName>
    <definedName name="SG_01_20_1" localSheetId="13">#REF!</definedName>
    <definedName name="SG_01_20_1" localSheetId="14">#REF!</definedName>
    <definedName name="SG_01_20_1" localSheetId="15">#REF!</definedName>
    <definedName name="SG_01_20_1" localSheetId="16">#REF!</definedName>
    <definedName name="SG_01_20_1" localSheetId="17">#REF!</definedName>
    <definedName name="SG_01_20_1" localSheetId="18">#REF!</definedName>
    <definedName name="SG_01_20_1" localSheetId="20">#REF!</definedName>
    <definedName name="SG_01_20_1" localSheetId="21">#REF!</definedName>
    <definedName name="SG_01_20_1" localSheetId="7">#REF!</definedName>
    <definedName name="SG_01_20_1" localSheetId="3">#REF!</definedName>
    <definedName name="SG_01_20_1" localSheetId="11">#REF!</definedName>
    <definedName name="SG_01_20_1">[5]RESUMO!#REF!</definedName>
    <definedName name="SG_02_01_1" localSheetId="13">#REF!</definedName>
    <definedName name="SG_02_01_1" localSheetId="14">#REF!</definedName>
    <definedName name="SG_02_01_1" localSheetId="15">#REF!</definedName>
    <definedName name="SG_02_01_1" localSheetId="16">#REF!</definedName>
    <definedName name="SG_02_01_1" localSheetId="17">#REF!</definedName>
    <definedName name="SG_02_01_1" localSheetId="18">#REF!</definedName>
    <definedName name="SG_02_01_1" localSheetId="20">#REF!</definedName>
    <definedName name="SG_02_01_1" localSheetId="21">#REF!</definedName>
    <definedName name="SG_02_01_1" localSheetId="7">#REF!</definedName>
    <definedName name="SG_02_01_1" localSheetId="3">#REF!</definedName>
    <definedName name="SG_02_01_1" localSheetId="11">#REF!</definedName>
    <definedName name="SG_02_01_1">[5]RESUMO!#REF!</definedName>
    <definedName name="SG_02_02_1" localSheetId="13">#REF!</definedName>
    <definedName name="SG_02_02_1" localSheetId="14">#REF!</definedName>
    <definedName name="SG_02_02_1" localSheetId="15">#REF!</definedName>
    <definedName name="SG_02_02_1" localSheetId="16">#REF!</definedName>
    <definedName name="SG_02_02_1" localSheetId="17">#REF!</definedName>
    <definedName name="SG_02_02_1" localSheetId="18">#REF!</definedName>
    <definedName name="SG_02_02_1" localSheetId="20">#REF!</definedName>
    <definedName name="SG_02_02_1" localSheetId="21">#REF!</definedName>
    <definedName name="SG_02_02_1" localSheetId="7">#REF!</definedName>
    <definedName name="SG_02_02_1" localSheetId="3">#REF!</definedName>
    <definedName name="SG_02_02_1" localSheetId="11">#REF!</definedName>
    <definedName name="SG_02_02_1">[5]RESUMO!#REF!</definedName>
    <definedName name="SG_02_03_1" localSheetId="13">#REF!</definedName>
    <definedName name="SG_02_03_1" localSheetId="14">#REF!</definedName>
    <definedName name="SG_02_03_1" localSheetId="15">#REF!</definedName>
    <definedName name="SG_02_03_1" localSheetId="16">#REF!</definedName>
    <definedName name="SG_02_03_1" localSheetId="17">#REF!</definedName>
    <definedName name="SG_02_03_1" localSheetId="18">#REF!</definedName>
    <definedName name="SG_02_03_1" localSheetId="20">#REF!</definedName>
    <definedName name="SG_02_03_1" localSheetId="21">#REF!</definedName>
    <definedName name="SG_02_03_1" localSheetId="7">#REF!</definedName>
    <definedName name="SG_02_03_1" localSheetId="3">#REF!</definedName>
    <definedName name="SG_02_03_1" localSheetId="11">#REF!</definedName>
    <definedName name="SG_02_03_1">[5]RESUMO!#REF!</definedName>
    <definedName name="SG_02_04_1" localSheetId="13">#REF!</definedName>
    <definedName name="SG_02_04_1" localSheetId="14">#REF!</definedName>
    <definedName name="SG_02_04_1" localSheetId="15">#REF!</definedName>
    <definedName name="SG_02_04_1" localSheetId="16">#REF!</definedName>
    <definedName name="SG_02_04_1" localSheetId="17">#REF!</definedName>
    <definedName name="SG_02_04_1" localSheetId="18">#REF!</definedName>
    <definedName name="SG_02_04_1" localSheetId="20">#REF!</definedName>
    <definedName name="SG_02_04_1" localSheetId="21">#REF!</definedName>
    <definedName name="SG_02_04_1" localSheetId="7">#REF!</definedName>
    <definedName name="SG_02_04_1" localSheetId="3">#REF!</definedName>
    <definedName name="SG_02_04_1" localSheetId="11">#REF!</definedName>
    <definedName name="SG_02_04_1">[5]RESUMO!#REF!</definedName>
    <definedName name="SG_02_05_1" localSheetId="13">#REF!</definedName>
    <definedName name="SG_02_05_1" localSheetId="14">#REF!</definedName>
    <definedName name="SG_02_05_1" localSheetId="15">#REF!</definedName>
    <definedName name="SG_02_05_1" localSheetId="16">#REF!</definedName>
    <definedName name="SG_02_05_1" localSheetId="17">#REF!</definedName>
    <definedName name="SG_02_05_1" localSheetId="18">#REF!</definedName>
    <definedName name="SG_02_05_1" localSheetId="20">#REF!</definedName>
    <definedName name="SG_02_05_1" localSheetId="21">#REF!</definedName>
    <definedName name="SG_02_05_1" localSheetId="7">#REF!</definedName>
    <definedName name="SG_02_05_1" localSheetId="3">#REF!</definedName>
    <definedName name="SG_02_05_1" localSheetId="11">#REF!</definedName>
    <definedName name="SG_02_05_1">[5]RESUMO!#REF!</definedName>
    <definedName name="SG_02_06_1" localSheetId="13">#REF!</definedName>
    <definedName name="SG_02_06_1" localSheetId="14">#REF!</definedName>
    <definedName name="SG_02_06_1" localSheetId="15">#REF!</definedName>
    <definedName name="SG_02_06_1" localSheetId="16">#REF!</definedName>
    <definedName name="SG_02_06_1" localSheetId="17">#REF!</definedName>
    <definedName name="SG_02_06_1" localSheetId="18">#REF!</definedName>
    <definedName name="SG_02_06_1" localSheetId="20">#REF!</definedName>
    <definedName name="SG_02_06_1" localSheetId="21">#REF!</definedName>
    <definedName name="SG_02_06_1" localSheetId="7">#REF!</definedName>
    <definedName name="SG_02_06_1" localSheetId="3">#REF!</definedName>
    <definedName name="SG_02_06_1" localSheetId="11">#REF!</definedName>
    <definedName name="SG_02_06_1">[5]RESUMO!#REF!</definedName>
    <definedName name="SG_02_07_1" localSheetId="13">#REF!</definedName>
    <definedName name="SG_02_07_1" localSheetId="14">#REF!</definedName>
    <definedName name="SG_02_07_1" localSheetId="15">#REF!</definedName>
    <definedName name="SG_02_07_1" localSheetId="16">#REF!</definedName>
    <definedName name="SG_02_07_1" localSheetId="17">#REF!</definedName>
    <definedName name="SG_02_07_1" localSheetId="18">#REF!</definedName>
    <definedName name="SG_02_07_1" localSheetId="20">#REF!</definedName>
    <definedName name="SG_02_07_1" localSheetId="21">#REF!</definedName>
    <definedName name="SG_02_07_1" localSheetId="7">#REF!</definedName>
    <definedName name="SG_02_07_1" localSheetId="3">#REF!</definedName>
    <definedName name="SG_02_07_1" localSheetId="11">#REF!</definedName>
    <definedName name="SG_02_07_1">[5]RESUMO!#REF!</definedName>
    <definedName name="SG_02_08_1" localSheetId="13">#REF!</definedName>
    <definedName name="SG_02_08_1" localSheetId="14">#REF!</definedName>
    <definedName name="SG_02_08_1" localSheetId="15">#REF!</definedName>
    <definedName name="SG_02_08_1" localSheetId="16">#REF!</definedName>
    <definedName name="SG_02_08_1" localSheetId="17">#REF!</definedName>
    <definedName name="SG_02_08_1" localSheetId="18">#REF!</definedName>
    <definedName name="SG_02_08_1" localSheetId="20">#REF!</definedName>
    <definedName name="SG_02_08_1" localSheetId="21">#REF!</definedName>
    <definedName name="SG_02_08_1" localSheetId="7">#REF!</definedName>
    <definedName name="SG_02_08_1" localSheetId="3">#REF!</definedName>
    <definedName name="SG_02_08_1" localSheetId="11">#REF!</definedName>
    <definedName name="SG_02_08_1">[5]RESUMO!#REF!</definedName>
    <definedName name="SG_02_09" localSheetId="13">#REF!</definedName>
    <definedName name="SG_02_09" localSheetId="14">#REF!</definedName>
    <definedName name="SG_02_09" localSheetId="15">#REF!</definedName>
    <definedName name="SG_02_09" localSheetId="16">#REF!</definedName>
    <definedName name="SG_02_09" localSheetId="17">#REF!</definedName>
    <definedName name="SG_02_09" localSheetId="18">#REF!</definedName>
    <definedName name="SG_02_09" localSheetId="20">#REF!</definedName>
    <definedName name="SG_02_09" localSheetId="21">#REF!</definedName>
    <definedName name="SG_02_09" localSheetId="7">#REF!</definedName>
    <definedName name="SG_02_09" localSheetId="3">#REF!</definedName>
    <definedName name="SG_02_09" localSheetId="11">#REF!</definedName>
    <definedName name="SG_02_09">'[14]Planilha PROJETISTA'!#REF!</definedName>
    <definedName name="SG_02_09_1" localSheetId="13">#REF!</definedName>
    <definedName name="SG_02_09_1" localSheetId="14">#REF!</definedName>
    <definedName name="SG_02_09_1" localSheetId="15">#REF!</definedName>
    <definedName name="SG_02_09_1" localSheetId="16">#REF!</definedName>
    <definedName name="SG_02_09_1" localSheetId="17">#REF!</definedName>
    <definedName name="SG_02_09_1" localSheetId="18">#REF!</definedName>
    <definedName name="SG_02_09_1" localSheetId="20">#REF!</definedName>
    <definedName name="SG_02_09_1" localSheetId="21">#REF!</definedName>
    <definedName name="SG_02_09_1" localSheetId="7">#REF!</definedName>
    <definedName name="SG_02_09_1" localSheetId="3">#REF!</definedName>
    <definedName name="SG_02_09_1" localSheetId="11">#REF!</definedName>
    <definedName name="SG_02_09_1">[5]RESUMO!#REF!</definedName>
    <definedName name="SG_02_10" localSheetId="13">#REF!</definedName>
    <definedName name="SG_02_10" localSheetId="14">#REF!</definedName>
    <definedName name="SG_02_10" localSheetId="15">#REF!</definedName>
    <definedName name="SG_02_10" localSheetId="16">#REF!</definedName>
    <definedName name="SG_02_10" localSheetId="17">#REF!</definedName>
    <definedName name="SG_02_10" localSheetId="18">#REF!</definedName>
    <definedName name="SG_02_10" localSheetId="20">#REF!</definedName>
    <definedName name="SG_02_10" localSheetId="21">#REF!</definedName>
    <definedName name="SG_02_10" localSheetId="7">#REF!</definedName>
    <definedName name="SG_02_10" localSheetId="3">#REF!</definedName>
    <definedName name="SG_02_10" localSheetId="11">#REF!</definedName>
    <definedName name="SG_02_10">'[14]Planilha PROJETISTA'!#REF!</definedName>
    <definedName name="SG_02_10_1" localSheetId="13">#REF!</definedName>
    <definedName name="SG_02_10_1" localSheetId="14">#REF!</definedName>
    <definedName name="SG_02_10_1" localSheetId="15">#REF!</definedName>
    <definedName name="SG_02_10_1" localSheetId="16">#REF!</definedName>
    <definedName name="SG_02_10_1" localSheetId="17">#REF!</definedName>
    <definedName name="SG_02_10_1" localSheetId="18">#REF!</definedName>
    <definedName name="SG_02_10_1" localSheetId="20">#REF!</definedName>
    <definedName name="SG_02_10_1" localSheetId="21">#REF!</definedName>
    <definedName name="SG_02_10_1" localSheetId="7">#REF!</definedName>
    <definedName name="SG_02_10_1" localSheetId="3">#REF!</definedName>
    <definedName name="SG_02_10_1" localSheetId="11">#REF!</definedName>
    <definedName name="SG_02_10_1">[5]RESUMO!#REF!</definedName>
    <definedName name="SG_02_11" localSheetId="13">#REF!</definedName>
    <definedName name="SG_02_11" localSheetId="14">#REF!</definedName>
    <definedName name="SG_02_11" localSheetId="15">#REF!</definedName>
    <definedName name="SG_02_11" localSheetId="16">#REF!</definedName>
    <definedName name="SG_02_11" localSheetId="17">#REF!</definedName>
    <definedName name="SG_02_11" localSheetId="18">#REF!</definedName>
    <definedName name="SG_02_11" localSheetId="20">#REF!</definedName>
    <definedName name="SG_02_11" localSheetId="21">#REF!</definedName>
    <definedName name="SG_02_11" localSheetId="7">#REF!</definedName>
    <definedName name="SG_02_11" localSheetId="3">#REF!</definedName>
    <definedName name="SG_02_11" localSheetId="11">#REF!</definedName>
    <definedName name="SG_02_11">'[14]Planilha PROJETISTA'!#REF!</definedName>
    <definedName name="SG_02_11_1" localSheetId="13">#REF!</definedName>
    <definedName name="SG_02_11_1" localSheetId="14">#REF!</definedName>
    <definedName name="SG_02_11_1" localSheetId="15">#REF!</definedName>
    <definedName name="SG_02_11_1" localSheetId="16">#REF!</definedName>
    <definedName name="SG_02_11_1" localSheetId="17">#REF!</definedName>
    <definedName name="SG_02_11_1" localSheetId="18">#REF!</definedName>
    <definedName name="SG_02_11_1" localSheetId="20">#REF!</definedName>
    <definedName name="SG_02_11_1" localSheetId="21">#REF!</definedName>
    <definedName name="SG_02_11_1" localSheetId="7">#REF!</definedName>
    <definedName name="SG_02_11_1" localSheetId="3">#REF!</definedName>
    <definedName name="SG_02_11_1" localSheetId="11">#REF!</definedName>
    <definedName name="SG_02_11_1">[5]RESUMO!#REF!</definedName>
    <definedName name="SG_02_12" localSheetId="13">#REF!</definedName>
    <definedName name="SG_02_12" localSheetId="14">#REF!</definedName>
    <definedName name="SG_02_12" localSheetId="15">#REF!</definedName>
    <definedName name="SG_02_12" localSheetId="16">#REF!</definedName>
    <definedName name="SG_02_12" localSheetId="17">#REF!</definedName>
    <definedName name="SG_02_12" localSheetId="18">#REF!</definedName>
    <definedName name="SG_02_12" localSheetId="20">#REF!</definedName>
    <definedName name="SG_02_12" localSheetId="21">#REF!</definedName>
    <definedName name="SG_02_12" localSheetId="7">#REF!</definedName>
    <definedName name="SG_02_12" localSheetId="3">#REF!</definedName>
    <definedName name="SG_02_12" localSheetId="11">#REF!</definedName>
    <definedName name="SG_02_12">'[14]Planilha PROJETISTA'!#REF!</definedName>
    <definedName name="SG_02_12_1" localSheetId="13">#REF!</definedName>
    <definedName name="SG_02_12_1" localSheetId="14">#REF!</definedName>
    <definedName name="SG_02_12_1" localSheetId="15">#REF!</definedName>
    <definedName name="SG_02_12_1" localSheetId="16">#REF!</definedName>
    <definedName name="SG_02_12_1" localSheetId="17">#REF!</definedName>
    <definedName name="SG_02_12_1" localSheetId="18">#REF!</definedName>
    <definedName name="SG_02_12_1" localSheetId="20">#REF!</definedName>
    <definedName name="SG_02_12_1" localSheetId="21">#REF!</definedName>
    <definedName name="SG_02_12_1" localSheetId="7">#REF!</definedName>
    <definedName name="SG_02_12_1" localSheetId="3">#REF!</definedName>
    <definedName name="SG_02_12_1" localSheetId="11">#REF!</definedName>
    <definedName name="SG_02_12_1">[5]RESUMO!#REF!</definedName>
    <definedName name="SG_02_13" localSheetId="13">#REF!</definedName>
    <definedName name="SG_02_13" localSheetId="14">#REF!</definedName>
    <definedName name="SG_02_13" localSheetId="15">#REF!</definedName>
    <definedName name="SG_02_13" localSheetId="16">#REF!</definedName>
    <definedName name="SG_02_13" localSheetId="17">#REF!</definedName>
    <definedName name="SG_02_13" localSheetId="18">#REF!</definedName>
    <definedName name="SG_02_13" localSheetId="20">#REF!</definedName>
    <definedName name="SG_02_13" localSheetId="21">#REF!</definedName>
    <definedName name="SG_02_13" localSheetId="7">#REF!</definedName>
    <definedName name="SG_02_13" localSheetId="3">#REF!</definedName>
    <definedName name="SG_02_13" localSheetId="11">#REF!</definedName>
    <definedName name="SG_02_13">'[14]Planilha PROJETISTA'!#REF!</definedName>
    <definedName name="SG_02_13_1" localSheetId="13">#REF!</definedName>
    <definedName name="SG_02_13_1" localSheetId="14">#REF!</definedName>
    <definedName name="SG_02_13_1" localSheetId="15">#REF!</definedName>
    <definedName name="SG_02_13_1" localSheetId="16">#REF!</definedName>
    <definedName name="SG_02_13_1" localSheetId="17">#REF!</definedName>
    <definedName name="SG_02_13_1" localSheetId="18">#REF!</definedName>
    <definedName name="SG_02_13_1" localSheetId="20">#REF!</definedName>
    <definedName name="SG_02_13_1" localSheetId="21">#REF!</definedName>
    <definedName name="SG_02_13_1" localSheetId="7">#REF!</definedName>
    <definedName name="SG_02_13_1" localSheetId="3">#REF!</definedName>
    <definedName name="SG_02_13_1" localSheetId="11">#REF!</definedName>
    <definedName name="SG_02_13_1">[5]RESUMO!#REF!</definedName>
    <definedName name="SG_02_14" localSheetId="13">#REF!</definedName>
    <definedName name="SG_02_14" localSheetId="14">#REF!</definedName>
    <definedName name="SG_02_14" localSheetId="15">#REF!</definedName>
    <definedName name="SG_02_14" localSheetId="16">#REF!</definedName>
    <definedName name="SG_02_14" localSheetId="17">#REF!</definedName>
    <definedName name="SG_02_14" localSheetId="18">#REF!</definedName>
    <definedName name="SG_02_14" localSheetId="20">#REF!</definedName>
    <definedName name="SG_02_14" localSheetId="21">#REF!</definedName>
    <definedName name="SG_02_14" localSheetId="7">#REF!</definedName>
    <definedName name="SG_02_14" localSheetId="3">#REF!</definedName>
    <definedName name="SG_02_14" localSheetId="11">#REF!</definedName>
    <definedName name="SG_02_14">'[14]Planilha PROJETISTA'!#REF!</definedName>
    <definedName name="SG_02_14_1" localSheetId="13">#REF!</definedName>
    <definedName name="SG_02_14_1" localSheetId="14">#REF!</definedName>
    <definedName name="SG_02_14_1" localSheetId="15">#REF!</definedName>
    <definedName name="SG_02_14_1" localSheetId="16">#REF!</definedName>
    <definedName name="SG_02_14_1" localSheetId="17">#REF!</definedName>
    <definedName name="SG_02_14_1" localSheetId="18">#REF!</definedName>
    <definedName name="SG_02_14_1" localSheetId="20">#REF!</definedName>
    <definedName name="SG_02_14_1" localSheetId="21">#REF!</definedName>
    <definedName name="SG_02_14_1" localSheetId="7">#REF!</definedName>
    <definedName name="SG_02_14_1" localSheetId="3">#REF!</definedName>
    <definedName name="SG_02_14_1" localSheetId="11">#REF!</definedName>
    <definedName name="SG_02_14_1">[5]RESUMO!#REF!</definedName>
    <definedName name="SG_02_15" localSheetId="13">#REF!</definedName>
    <definedName name="SG_02_15" localSheetId="14">#REF!</definedName>
    <definedName name="SG_02_15" localSheetId="15">#REF!</definedName>
    <definedName name="SG_02_15" localSheetId="16">#REF!</definedName>
    <definedName name="SG_02_15" localSheetId="17">#REF!</definedName>
    <definedName name="SG_02_15" localSheetId="18">#REF!</definedName>
    <definedName name="SG_02_15" localSheetId="20">#REF!</definedName>
    <definedName name="SG_02_15" localSheetId="21">#REF!</definedName>
    <definedName name="SG_02_15" localSheetId="7">#REF!</definedName>
    <definedName name="SG_02_15" localSheetId="3">#REF!</definedName>
    <definedName name="SG_02_15" localSheetId="11">#REF!</definedName>
    <definedName name="SG_02_15">'[14]Planilha PROJETISTA'!#REF!</definedName>
    <definedName name="SG_02_15_1" localSheetId="13">#REF!</definedName>
    <definedName name="SG_02_15_1" localSheetId="14">#REF!</definedName>
    <definedName name="SG_02_15_1" localSheetId="15">#REF!</definedName>
    <definedName name="SG_02_15_1" localSheetId="16">#REF!</definedName>
    <definedName name="SG_02_15_1" localSheetId="17">#REF!</definedName>
    <definedName name="SG_02_15_1" localSheetId="18">#REF!</definedName>
    <definedName name="SG_02_15_1" localSheetId="20">#REF!</definedName>
    <definedName name="SG_02_15_1" localSheetId="21">#REF!</definedName>
    <definedName name="SG_02_15_1" localSheetId="7">#REF!</definedName>
    <definedName name="SG_02_15_1" localSheetId="3">#REF!</definedName>
    <definedName name="SG_02_15_1" localSheetId="11">#REF!</definedName>
    <definedName name="SG_02_15_1">[5]RESUMO!#REF!</definedName>
    <definedName name="SG_02_16" localSheetId="13">#REF!</definedName>
    <definedName name="SG_02_16" localSheetId="14">#REF!</definedName>
    <definedName name="SG_02_16" localSheetId="15">#REF!</definedName>
    <definedName name="SG_02_16" localSheetId="16">#REF!</definedName>
    <definedName name="SG_02_16" localSheetId="17">#REF!</definedName>
    <definedName name="SG_02_16" localSheetId="18">#REF!</definedName>
    <definedName name="SG_02_16" localSheetId="20">#REF!</definedName>
    <definedName name="SG_02_16" localSheetId="21">#REF!</definedName>
    <definedName name="SG_02_16" localSheetId="7">#REF!</definedName>
    <definedName name="SG_02_16" localSheetId="3">#REF!</definedName>
    <definedName name="SG_02_16" localSheetId="11">#REF!</definedName>
    <definedName name="SG_02_16">'[14]Planilha PROJETISTA'!#REF!</definedName>
    <definedName name="SG_02_16_1" localSheetId="13">#REF!</definedName>
    <definedName name="SG_02_16_1" localSheetId="14">#REF!</definedName>
    <definedName name="SG_02_16_1" localSheetId="15">#REF!</definedName>
    <definedName name="SG_02_16_1" localSheetId="16">#REF!</definedName>
    <definedName name="SG_02_16_1" localSheetId="17">#REF!</definedName>
    <definedName name="SG_02_16_1" localSheetId="18">#REF!</definedName>
    <definedName name="SG_02_16_1" localSheetId="20">#REF!</definedName>
    <definedName name="SG_02_16_1" localSheetId="21">#REF!</definedName>
    <definedName name="SG_02_16_1" localSheetId="7">#REF!</definedName>
    <definedName name="SG_02_16_1" localSheetId="3">#REF!</definedName>
    <definedName name="SG_02_16_1" localSheetId="11">#REF!</definedName>
    <definedName name="SG_02_16_1">[5]RESUMO!#REF!</definedName>
    <definedName name="SG_02_17" localSheetId="13">#REF!</definedName>
    <definedName name="SG_02_17" localSheetId="14">#REF!</definedName>
    <definedName name="SG_02_17" localSheetId="15">#REF!</definedName>
    <definedName name="SG_02_17" localSheetId="16">#REF!</definedName>
    <definedName name="SG_02_17" localSheetId="17">#REF!</definedName>
    <definedName name="SG_02_17" localSheetId="18">#REF!</definedName>
    <definedName name="SG_02_17" localSheetId="20">#REF!</definedName>
    <definedName name="SG_02_17" localSheetId="21">#REF!</definedName>
    <definedName name="SG_02_17" localSheetId="7">#REF!</definedName>
    <definedName name="SG_02_17" localSheetId="3">#REF!</definedName>
    <definedName name="SG_02_17" localSheetId="11">#REF!</definedName>
    <definedName name="SG_02_17">'[14]Planilha PROJETISTA'!#REF!</definedName>
    <definedName name="SG_02_17_1" localSheetId="13">#REF!</definedName>
    <definedName name="SG_02_17_1" localSheetId="14">#REF!</definedName>
    <definedName name="SG_02_17_1" localSheetId="15">#REF!</definedName>
    <definedName name="SG_02_17_1" localSheetId="16">#REF!</definedName>
    <definedName name="SG_02_17_1" localSheetId="17">#REF!</definedName>
    <definedName name="SG_02_17_1" localSheetId="18">#REF!</definedName>
    <definedName name="SG_02_17_1" localSheetId="20">#REF!</definedName>
    <definedName name="SG_02_17_1" localSheetId="21">#REF!</definedName>
    <definedName name="SG_02_17_1" localSheetId="7">#REF!</definedName>
    <definedName name="SG_02_17_1" localSheetId="3">#REF!</definedName>
    <definedName name="SG_02_17_1" localSheetId="11">#REF!</definedName>
    <definedName name="SG_02_17_1">[5]RESUMO!#REF!</definedName>
    <definedName name="SG_02_18" localSheetId="13">#REF!</definedName>
    <definedName name="SG_02_18" localSheetId="14">#REF!</definedName>
    <definedName name="SG_02_18" localSheetId="15">#REF!</definedName>
    <definedName name="SG_02_18" localSheetId="16">#REF!</definedName>
    <definedName name="SG_02_18" localSheetId="17">#REF!</definedName>
    <definedName name="SG_02_18" localSheetId="18">#REF!</definedName>
    <definedName name="SG_02_18" localSheetId="20">#REF!</definedName>
    <definedName name="SG_02_18" localSheetId="21">#REF!</definedName>
    <definedName name="SG_02_18" localSheetId="7">#REF!</definedName>
    <definedName name="SG_02_18" localSheetId="3">#REF!</definedName>
    <definedName name="SG_02_18" localSheetId="11">#REF!</definedName>
    <definedName name="SG_02_18">'[14]Planilha PROJETISTA'!#REF!</definedName>
    <definedName name="SG_02_18_1" localSheetId="13">#REF!</definedName>
    <definedName name="SG_02_18_1" localSheetId="14">#REF!</definedName>
    <definedName name="SG_02_18_1" localSheetId="15">#REF!</definedName>
    <definedName name="SG_02_18_1" localSheetId="16">#REF!</definedName>
    <definedName name="SG_02_18_1" localSheetId="17">#REF!</definedName>
    <definedName name="SG_02_18_1" localSheetId="18">#REF!</definedName>
    <definedName name="SG_02_18_1" localSheetId="20">#REF!</definedName>
    <definedName name="SG_02_18_1" localSheetId="21">#REF!</definedName>
    <definedName name="SG_02_18_1" localSheetId="7">#REF!</definedName>
    <definedName name="SG_02_18_1" localSheetId="3">#REF!</definedName>
    <definedName name="SG_02_18_1" localSheetId="11">#REF!</definedName>
    <definedName name="SG_02_18_1">[5]RESUMO!#REF!</definedName>
    <definedName name="SG_02_19" localSheetId="13">#REF!</definedName>
    <definedName name="SG_02_19" localSheetId="14">#REF!</definedName>
    <definedName name="SG_02_19" localSheetId="15">#REF!</definedName>
    <definedName name="SG_02_19" localSheetId="16">#REF!</definedName>
    <definedName name="SG_02_19" localSheetId="17">#REF!</definedName>
    <definedName name="SG_02_19" localSheetId="18">#REF!</definedName>
    <definedName name="SG_02_19" localSheetId="20">#REF!</definedName>
    <definedName name="SG_02_19" localSheetId="21">#REF!</definedName>
    <definedName name="SG_02_19" localSheetId="7">#REF!</definedName>
    <definedName name="SG_02_19" localSheetId="3">#REF!</definedName>
    <definedName name="SG_02_19" localSheetId="11">#REF!</definedName>
    <definedName name="SG_02_19">'[14]Planilha PROJETISTA'!#REF!</definedName>
    <definedName name="SG_02_19_1" localSheetId="13">#REF!</definedName>
    <definedName name="SG_02_19_1" localSheetId="14">#REF!</definedName>
    <definedName name="SG_02_19_1" localSheetId="15">#REF!</definedName>
    <definedName name="SG_02_19_1" localSheetId="16">#REF!</definedName>
    <definedName name="SG_02_19_1" localSheetId="17">#REF!</definedName>
    <definedName name="SG_02_19_1" localSheetId="18">#REF!</definedName>
    <definedName name="SG_02_19_1" localSheetId="20">#REF!</definedName>
    <definedName name="SG_02_19_1" localSheetId="21">#REF!</definedName>
    <definedName name="SG_02_19_1" localSheetId="7">#REF!</definedName>
    <definedName name="SG_02_19_1" localSheetId="3">#REF!</definedName>
    <definedName name="SG_02_19_1" localSheetId="11">#REF!</definedName>
    <definedName name="SG_02_19_1">[5]RESUMO!#REF!</definedName>
    <definedName name="SG_02_20" localSheetId="13">#REF!</definedName>
    <definedName name="SG_02_20" localSheetId="14">#REF!</definedName>
    <definedName name="SG_02_20" localSheetId="15">#REF!</definedName>
    <definedName name="SG_02_20" localSheetId="16">#REF!</definedName>
    <definedName name="SG_02_20" localSheetId="17">#REF!</definedName>
    <definedName name="SG_02_20" localSheetId="18">#REF!</definedName>
    <definedName name="SG_02_20" localSheetId="20">#REF!</definedName>
    <definedName name="SG_02_20" localSheetId="21">#REF!</definedName>
    <definedName name="SG_02_20" localSheetId="7">#REF!</definedName>
    <definedName name="SG_02_20" localSheetId="3">#REF!</definedName>
    <definedName name="SG_02_20" localSheetId="11">#REF!</definedName>
    <definedName name="SG_02_20">'[14]Planilha PROJETISTA'!#REF!</definedName>
    <definedName name="SG_02_20_1" localSheetId="13">#REF!</definedName>
    <definedName name="SG_02_20_1" localSheetId="14">#REF!</definedName>
    <definedName name="SG_02_20_1" localSheetId="15">#REF!</definedName>
    <definedName name="SG_02_20_1" localSheetId="16">#REF!</definedName>
    <definedName name="SG_02_20_1" localSheetId="17">#REF!</definedName>
    <definedName name="SG_02_20_1" localSheetId="18">#REF!</definedName>
    <definedName name="SG_02_20_1" localSheetId="20">#REF!</definedName>
    <definedName name="SG_02_20_1" localSheetId="21">#REF!</definedName>
    <definedName name="SG_02_20_1" localSheetId="7">#REF!</definedName>
    <definedName name="SG_02_20_1" localSheetId="3">#REF!</definedName>
    <definedName name="SG_02_20_1" localSheetId="11">#REF!</definedName>
    <definedName name="SG_02_20_1">[5]RESUMO!#REF!</definedName>
    <definedName name="SG_03_01_1" localSheetId="13">#REF!</definedName>
    <definedName name="SG_03_01_1" localSheetId="14">#REF!</definedName>
    <definedName name="SG_03_01_1" localSheetId="15">#REF!</definedName>
    <definedName name="SG_03_01_1" localSheetId="16">#REF!</definedName>
    <definedName name="SG_03_01_1" localSheetId="17">#REF!</definedName>
    <definedName name="SG_03_01_1" localSheetId="18">#REF!</definedName>
    <definedName name="SG_03_01_1" localSheetId="20">#REF!</definedName>
    <definedName name="SG_03_01_1" localSheetId="21">#REF!</definedName>
    <definedName name="SG_03_01_1" localSheetId="7">#REF!</definedName>
    <definedName name="SG_03_01_1" localSheetId="3">#REF!</definedName>
    <definedName name="SG_03_01_1" localSheetId="11">#REF!</definedName>
    <definedName name="SG_03_01_1">[5]RESUMO!#REF!</definedName>
    <definedName name="SG_03_02_1" localSheetId="13">#REF!</definedName>
    <definedName name="SG_03_02_1" localSheetId="14">#REF!</definedName>
    <definedName name="SG_03_02_1" localSheetId="15">#REF!</definedName>
    <definedName name="SG_03_02_1" localSheetId="16">#REF!</definedName>
    <definedName name="SG_03_02_1" localSheetId="17">#REF!</definedName>
    <definedName name="SG_03_02_1" localSheetId="18">#REF!</definedName>
    <definedName name="SG_03_02_1" localSheetId="20">#REF!</definedName>
    <definedName name="SG_03_02_1" localSheetId="21">#REF!</definedName>
    <definedName name="SG_03_02_1" localSheetId="7">#REF!</definedName>
    <definedName name="SG_03_02_1" localSheetId="3">#REF!</definedName>
    <definedName name="SG_03_02_1" localSheetId="11">#REF!</definedName>
    <definedName name="SG_03_02_1">[5]RESUMO!#REF!</definedName>
    <definedName name="SG_03_03_1" localSheetId="13">#REF!</definedName>
    <definedName name="SG_03_03_1" localSheetId="14">#REF!</definedName>
    <definedName name="SG_03_03_1" localSheetId="15">#REF!</definedName>
    <definedName name="SG_03_03_1" localSheetId="16">#REF!</definedName>
    <definedName name="SG_03_03_1" localSheetId="17">#REF!</definedName>
    <definedName name="SG_03_03_1" localSheetId="18">#REF!</definedName>
    <definedName name="SG_03_03_1" localSheetId="20">#REF!</definedName>
    <definedName name="SG_03_03_1" localSheetId="21">#REF!</definedName>
    <definedName name="SG_03_03_1" localSheetId="7">#REF!</definedName>
    <definedName name="SG_03_03_1" localSheetId="3">#REF!</definedName>
    <definedName name="SG_03_03_1" localSheetId="11">#REF!</definedName>
    <definedName name="SG_03_03_1">[5]RESUMO!#REF!</definedName>
    <definedName name="SG_03_04_1" localSheetId="13">#REF!</definedName>
    <definedName name="SG_03_04_1" localSheetId="14">#REF!</definedName>
    <definedName name="SG_03_04_1" localSheetId="15">#REF!</definedName>
    <definedName name="SG_03_04_1" localSheetId="16">#REF!</definedName>
    <definedName name="SG_03_04_1" localSheetId="17">#REF!</definedName>
    <definedName name="SG_03_04_1" localSheetId="18">#REF!</definedName>
    <definedName name="SG_03_04_1" localSheetId="20">#REF!</definedName>
    <definedName name="SG_03_04_1" localSheetId="21">#REF!</definedName>
    <definedName name="SG_03_04_1" localSheetId="7">#REF!</definedName>
    <definedName name="SG_03_04_1" localSheetId="3">#REF!</definedName>
    <definedName name="SG_03_04_1" localSheetId="11">#REF!</definedName>
    <definedName name="SG_03_04_1">[5]RESUMO!#REF!</definedName>
    <definedName name="SG_03_05_1" localSheetId="13">#REF!</definedName>
    <definedName name="SG_03_05_1" localSheetId="14">#REF!</definedName>
    <definedName name="SG_03_05_1" localSheetId="15">#REF!</definedName>
    <definedName name="SG_03_05_1" localSheetId="16">#REF!</definedName>
    <definedName name="SG_03_05_1" localSheetId="17">#REF!</definedName>
    <definedName name="SG_03_05_1" localSheetId="18">#REF!</definedName>
    <definedName name="SG_03_05_1" localSheetId="20">#REF!</definedName>
    <definedName name="SG_03_05_1" localSheetId="21">#REF!</definedName>
    <definedName name="SG_03_05_1" localSheetId="7">#REF!</definedName>
    <definedName name="SG_03_05_1" localSheetId="3">#REF!</definedName>
    <definedName name="SG_03_05_1" localSheetId="11">#REF!</definedName>
    <definedName name="SG_03_05_1">[5]RESUMO!#REF!</definedName>
    <definedName name="SG_03_06_1" localSheetId="13">#REF!</definedName>
    <definedName name="SG_03_06_1" localSheetId="14">#REF!</definedName>
    <definedName name="SG_03_06_1" localSheetId="15">#REF!</definedName>
    <definedName name="SG_03_06_1" localSheetId="16">#REF!</definedName>
    <definedName name="SG_03_06_1" localSheetId="17">#REF!</definedName>
    <definedName name="SG_03_06_1" localSheetId="18">#REF!</definedName>
    <definedName name="SG_03_06_1" localSheetId="20">#REF!</definedName>
    <definedName name="SG_03_06_1" localSheetId="21">#REF!</definedName>
    <definedName name="SG_03_06_1" localSheetId="7">#REF!</definedName>
    <definedName name="SG_03_06_1" localSheetId="3">#REF!</definedName>
    <definedName name="SG_03_06_1" localSheetId="11">#REF!</definedName>
    <definedName name="SG_03_06_1">[5]RESUMO!#REF!</definedName>
    <definedName name="SG_03_07_1" localSheetId="13">#REF!</definedName>
    <definedName name="SG_03_07_1" localSheetId="14">#REF!</definedName>
    <definedName name="SG_03_07_1" localSheetId="15">#REF!</definedName>
    <definedName name="SG_03_07_1" localSheetId="16">#REF!</definedName>
    <definedName name="SG_03_07_1" localSheetId="17">#REF!</definedName>
    <definedName name="SG_03_07_1" localSheetId="18">#REF!</definedName>
    <definedName name="SG_03_07_1" localSheetId="20">#REF!</definedName>
    <definedName name="SG_03_07_1" localSheetId="21">#REF!</definedName>
    <definedName name="SG_03_07_1" localSheetId="7">#REF!</definedName>
    <definedName name="SG_03_07_1" localSheetId="3">#REF!</definedName>
    <definedName name="SG_03_07_1" localSheetId="11">#REF!</definedName>
    <definedName name="SG_03_07_1">[5]RESUMO!#REF!</definedName>
    <definedName name="SG_03_08_1" localSheetId="13">#REF!</definedName>
    <definedName name="SG_03_08_1" localSheetId="14">#REF!</definedName>
    <definedName name="SG_03_08_1" localSheetId="15">#REF!</definedName>
    <definedName name="SG_03_08_1" localSheetId="16">#REF!</definedName>
    <definedName name="SG_03_08_1" localSheetId="17">#REF!</definedName>
    <definedName name="SG_03_08_1" localSheetId="18">#REF!</definedName>
    <definedName name="SG_03_08_1" localSheetId="20">#REF!</definedName>
    <definedName name="SG_03_08_1" localSheetId="21">#REF!</definedName>
    <definedName name="SG_03_08_1" localSheetId="7">#REF!</definedName>
    <definedName name="SG_03_08_1" localSheetId="3">#REF!</definedName>
    <definedName name="SG_03_08_1" localSheetId="11">#REF!</definedName>
    <definedName name="SG_03_08_1">[5]RESUMO!#REF!</definedName>
    <definedName name="SG_03_09_1" localSheetId="13">#REF!</definedName>
    <definedName name="SG_03_09_1" localSheetId="14">#REF!</definedName>
    <definedName name="SG_03_09_1" localSheetId="15">#REF!</definedName>
    <definedName name="SG_03_09_1" localSheetId="16">#REF!</definedName>
    <definedName name="SG_03_09_1" localSheetId="17">#REF!</definedName>
    <definedName name="SG_03_09_1" localSheetId="18">#REF!</definedName>
    <definedName name="SG_03_09_1" localSheetId="20">#REF!</definedName>
    <definedName name="SG_03_09_1" localSheetId="21">#REF!</definedName>
    <definedName name="SG_03_09_1" localSheetId="7">#REF!</definedName>
    <definedName name="SG_03_09_1" localSheetId="3">#REF!</definedName>
    <definedName name="SG_03_09_1" localSheetId="11">#REF!</definedName>
    <definedName name="SG_03_09_1">[5]RESUMO!#REF!</definedName>
    <definedName name="SG_03_10_1" localSheetId="13">#REF!</definedName>
    <definedName name="SG_03_10_1" localSheetId="14">#REF!</definedName>
    <definedName name="SG_03_10_1" localSheetId="15">#REF!</definedName>
    <definedName name="SG_03_10_1" localSheetId="16">#REF!</definedName>
    <definedName name="SG_03_10_1" localSheetId="17">#REF!</definedName>
    <definedName name="SG_03_10_1" localSheetId="18">#REF!</definedName>
    <definedName name="SG_03_10_1" localSheetId="20">#REF!</definedName>
    <definedName name="SG_03_10_1" localSheetId="21">#REF!</definedName>
    <definedName name="SG_03_10_1" localSheetId="7">#REF!</definedName>
    <definedName name="SG_03_10_1" localSheetId="3">#REF!</definedName>
    <definedName name="SG_03_10_1" localSheetId="11">#REF!</definedName>
    <definedName name="SG_03_10_1">[5]RESUMO!#REF!</definedName>
    <definedName name="SG_03_11_1" localSheetId="13">#REF!</definedName>
    <definedName name="SG_03_11_1" localSheetId="14">#REF!</definedName>
    <definedName name="SG_03_11_1" localSheetId="15">#REF!</definedName>
    <definedName name="SG_03_11_1" localSheetId="16">#REF!</definedName>
    <definedName name="SG_03_11_1" localSheetId="17">#REF!</definedName>
    <definedName name="SG_03_11_1" localSheetId="18">#REF!</definedName>
    <definedName name="SG_03_11_1" localSheetId="20">#REF!</definedName>
    <definedName name="SG_03_11_1" localSheetId="21">#REF!</definedName>
    <definedName name="SG_03_11_1" localSheetId="7">#REF!</definedName>
    <definedName name="SG_03_11_1" localSheetId="3">#REF!</definedName>
    <definedName name="SG_03_11_1" localSheetId="11">#REF!</definedName>
    <definedName name="SG_03_11_1">[5]RESUMO!#REF!</definedName>
    <definedName name="SG_03_12_1" localSheetId="13">#REF!</definedName>
    <definedName name="SG_03_12_1" localSheetId="14">#REF!</definedName>
    <definedName name="SG_03_12_1" localSheetId="15">#REF!</definedName>
    <definedName name="SG_03_12_1" localSheetId="16">#REF!</definedName>
    <definedName name="SG_03_12_1" localSheetId="17">#REF!</definedName>
    <definedName name="SG_03_12_1" localSheetId="18">#REF!</definedName>
    <definedName name="SG_03_12_1" localSheetId="20">#REF!</definedName>
    <definedName name="SG_03_12_1" localSheetId="21">#REF!</definedName>
    <definedName name="SG_03_12_1" localSheetId="7">#REF!</definedName>
    <definedName name="SG_03_12_1" localSheetId="3">#REF!</definedName>
    <definedName name="SG_03_12_1" localSheetId="11">#REF!</definedName>
    <definedName name="SG_03_12_1">[5]RESUMO!#REF!</definedName>
    <definedName name="SG_03_13_1" localSheetId="13">#REF!</definedName>
    <definedName name="SG_03_13_1" localSheetId="14">#REF!</definedName>
    <definedName name="SG_03_13_1" localSheetId="15">#REF!</definedName>
    <definedName name="SG_03_13_1" localSheetId="16">#REF!</definedName>
    <definedName name="SG_03_13_1" localSheetId="17">#REF!</definedName>
    <definedName name="SG_03_13_1" localSheetId="18">#REF!</definedName>
    <definedName name="SG_03_13_1" localSheetId="20">#REF!</definedName>
    <definedName name="SG_03_13_1" localSheetId="21">#REF!</definedName>
    <definedName name="SG_03_13_1" localSheetId="7">#REF!</definedName>
    <definedName name="SG_03_13_1" localSheetId="3">#REF!</definedName>
    <definedName name="SG_03_13_1" localSheetId="11">#REF!</definedName>
    <definedName name="SG_03_13_1">[5]RESUMO!#REF!</definedName>
    <definedName name="SG_03_14_1" localSheetId="13">#REF!</definedName>
    <definedName name="SG_03_14_1" localSheetId="14">#REF!</definedName>
    <definedName name="SG_03_14_1" localSheetId="15">#REF!</definedName>
    <definedName name="SG_03_14_1" localSheetId="16">#REF!</definedName>
    <definedName name="SG_03_14_1" localSheetId="17">#REF!</definedName>
    <definedName name="SG_03_14_1" localSheetId="18">#REF!</definedName>
    <definedName name="SG_03_14_1" localSheetId="20">#REF!</definedName>
    <definedName name="SG_03_14_1" localSheetId="21">#REF!</definedName>
    <definedName name="SG_03_14_1" localSheetId="7">#REF!</definedName>
    <definedName name="SG_03_14_1" localSheetId="3">#REF!</definedName>
    <definedName name="SG_03_14_1" localSheetId="11">#REF!</definedName>
    <definedName name="SG_03_14_1">[5]RESUMO!#REF!</definedName>
    <definedName name="SG_03_15_1" localSheetId="13">#REF!</definedName>
    <definedName name="SG_03_15_1" localSheetId="14">#REF!</definedName>
    <definedName name="SG_03_15_1" localSheetId="15">#REF!</definedName>
    <definedName name="SG_03_15_1" localSheetId="16">#REF!</definedName>
    <definedName name="SG_03_15_1" localSheetId="17">#REF!</definedName>
    <definedName name="SG_03_15_1" localSheetId="18">#REF!</definedName>
    <definedName name="SG_03_15_1" localSheetId="20">#REF!</definedName>
    <definedName name="SG_03_15_1" localSheetId="21">#REF!</definedName>
    <definedName name="SG_03_15_1" localSheetId="7">#REF!</definedName>
    <definedName name="SG_03_15_1" localSheetId="3">#REF!</definedName>
    <definedName name="SG_03_15_1" localSheetId="11">#REF!</definedName>
    <definedName name="SG_03_15_1">[5]RESUMO!#REF!</definedName>
    <definedName name="SG_03_16" localSheetId="13">#REF!</definedName>
    <definedName name="SG_03_16" localSheetId="14">#REF!</definedName>
    <definedName name="SG_03_16" localSheetId="15">#REF!</definedName>
    <definedName name="SG_03_16" localSheetId="16">#REF!</definedName>
    <definedName name="SG_03_16" localSheetId="17">#REF!</definedName>
    <definedName name="SG_03_16" localSheetId="18">#REF!</definedName>
    <definedName name="SG_03_16" localSheetId="20">#REF!</definedName>
    <definedName name="SG_03_16" localSheetId="21">#REF!</definedName>
    <definedName name="SG_03_16" localSheetId="7">#REF!</definedName>
    <definedName name="SG_03_16" localSheetId="3">#REF!</definedName>
    <definedName name="SG_03_16" localSheetId="11">#REF!</definedName>
    <definedName name="SG_03_16">'[14]Planilha PROJETISTA'!#REF!</definedName>
    <definedName name="SG_03_16_1" localSheetId="13">#REF!</definedName>
    <definedName name="SG_03_16_1" localSheetId="14">#REF!</definedName>
    <definedName name="SG_03_16_1" localSheetId="15">#REF!</definedName>
    <definedName name="SG_03_16_1" localSheetId="16">#REF!</definedName>
    <definedName name="SG_03_16_1" localSheetId="17">#REF!</definedName>
    <definedName name="SG_03_16_1" localSheetId="18">#REF!</definedName>
    <definedName name="SG_03_16_1" localSheetId="20">#REF!</definedName>
    <definedName name="SG_03_16_1" localSheetId="21">#REF!</definedName>
    <definedName name="SG_03_16_1" localSheetId="7">#REF!</definedName>
    <definedName name="SG_03_16_1" localSheetId="3">#REF!</definedName>
    <definedName name="SG_03_16_1" localSheetId="11">#REF!</definedName>
    <definedName name="SG_03_16_1">[5]RESUMO!#REF!</definedName>
    <definedName name="SG_03_17" localSheetId="13">#REF!</definedName>
    <definedName name="SG_03_17" localSheetId="14">#REF!</definedName>
    <definedName name="SG_03_17" localSheetId="15">#REF!</definedName>
    <definedName name="SG_03_17" localSheetId="16">#REF!</definedName>
    <definedName name="SG_03_17" localSheetId="17">#REF!</definedName>
    <definedName name="SG_03_17" localSheetId="18">#REF!</definedName>
    <definedName name="SG_03_17" localSheetId="20">#REF!</definedName>
    <definedName name="SG_03_17" localSheetId="21">#REF!</definedName>
    <definedName name="SG_03_17" localSheetId="7">#REF!</definedName>
    <definedName name="SG_03_17" localSheetId="3">#REF!</definedName>
    <definedName name="SG_03_17" localSheetId="11">#REF!</definedName>
    <definedName name="SG_03_17">'[14]Planilha PROJETISTA'!#REF!</definedName>
    <definedName name="SG_03_17_1" localSheetId="13">#REF!</definedName>
    <definedName name="SG_03_17_1" localSheetId="14">#REF!</definedName>
    <definedName name="SG_03_17_1" localSheetId="15">#REF!</definedName>
    <definedName name="SG_03_17_1" localSheetId="16">#REF!</definedName>
    <definedName name="SG_03_17_1" localSheetId="17">#REF!</definedName>
    <definedName name="SG_03_17_1" localSheetId="18">#REF!</definedName>
    <definedName name="SG_03_17_1" localSheetId="20">#REF!</definedName>
    <definedName name="SG_03_17_1" localSheetId="21">#REF!</definedName>
    <definedName name="SG_03_17_1" localSheetId="7">#REF!</definedName>
    <definedName name="SG_03_17_1" localSheetId="3">#REF!</definedName>
    <definedName name="SG_03_17_1" localSheetId="11">#REF!</definedName>
    <definedName name="SG_03_17_1">[5]RESUMO!#REF!</definedName>
    <definedName name="SG_03_18" localSheetId="13">#REF!</definedName>
    <definedName name="SG_03_18" localSheetId="14">#REF!</definedName>
    <definedName name="SG_03_18" localSheetId="15">#REF!</definedName>
    <definedName name="SG_03_18" localSheetId="16">#REF!</definedName>
    <definedName name="SG_03_18" localSheetId="17">#REF!</definedName>
    <definedName name="SG_03_18" localSheetId="18">#REF!</definedName>
    <definedName name="SG_03_18" localSheetId="20">#REF!</definedName>
    <definedName name="SG_03_18" localSheetId="21">#REF!</definedName>
    <definedName name="SG_03_18" localSheetId="7">#REF!</definedName>
    <definedName name="SG_03_18" localSheetId="3">#REF!</definedName>
    <definedName name="SG_03_18" localSheetId="11">#REF!</definedName>
    <definedName name="SG_03_18">'[14]Planilha PROJETISTA'!#REF!</definedName>
    <definedName name="SG_03_18_1" localSheetId="13">#REF!</definedName>
    <definedName name="SG_03_18_1" localSheetId="14">#REF!</definedName>
    <definedName name="SG_03_18_1" localSheetId="15">#REF!</definedName>
    <definedName name="SG_03_18_1" localSheetId="16">#REF!</definedName>
    <definedName name="SG_03_18_1" localSheetId="17">#REF!</definedName>
    <definedName name="SG_03_18_1" localSheetId="18">#REF!</definedName>
    <definedName name="SG_03_18_1" localSheetId="20">#REF!</definedName>
    <definedName name="SG_03_18_1" localSheetId="21">#REF!</definedName>
    <definedName name="SG_03_18_1" localSheetId="7">#REF!</definedName>
    <definedName name="SG_03_18_1" localSheetId="3">#REF!</definedName>
    <definedName name="SG_03_18_1" localSheetId="11">#REF!</definedName>
    <definedName name="SG_03_18_1">[5]RESUMO!#REF!</definedName>
    <definedName name="SG_03_19" localSheetId="13">#REF!</definedName>
    <definedName name="SG_03_19" localSheetId="14">#REF!</definedName>
    <definedName name="SG_03_19" localSheetId="15">#REF!</definedName>
    <definedName name="SG_03_19" localSheetId="16">#REF!</definedName>
    <definedName name="SG_03_19" localSheetId="17">#REF!</definedName>
    <definedName name="SG_03_19" localSheetId="18">#REF!</definedName>
    <definedName name="SG_03_19" localSheetId="20">#REF!</definedName>
    <definedName name="SG_03_19" localSheetId="21">#REF!</definedName>
    <definedName name="SG_03_19" localSheetId="7">#REF!</definedName>
    <definedName name="SG_03_19" localSheetId="3">#REF!</definedName>
    <definedName name="SG_03_19" localSheetId="11">#REF!</definedName>
    <definedName name="SG_03_19">'[14]Planilha PROJETISTA'!#REF!</definedName>
    <definedName name="SG_03_19_1" localSheetId="13">#REF!</definedName>
    <definedName name="SG_03_19_1" localSheetId="14">#REF!</definedName>
    <definedName name="SG_03_19_1" localSheetId="15">#REF!</definedName>
    <definedName name="SG_03_19_1" localSheetId="16">#REF!</definedName>
    <definedName name="SG_03_19_1" localSheetId="17">#REF!</definedName>
    <definedName name="SG_03_19_1" localSheetId="18">#REF!</definedName>
    <definedName name="SG_03_19_1" localSheetId="20">#REF!</definedName>
    <definedName name="SG_03_19_1" localSheetId="21">#REF!</definedName>
    <definedName name="SG_03_19_1" localSheetId="7">#REF!</definedName>
    <definedName name="SG_03_19_1" localSheetId="3">#REF!</definedName>
    <definedName name="SG_03_19_1" localSheetId="11">#REF!</definedName>
    <definedName name="SG_03_19_1">[5]RESUMO!#REF!</definedName>
    <definedName name="SG_03_20" localSheetId="13">#REF!</definedName>
    <definedName name="SG_03_20" localSheetId="14">#REF!</definedName>
    <definedName name="SG_03_20" localSheetId="15">#REF!</definedName>
    <definedName name="SG_03_20" localSheetId="16">#REF!</definedName>
    <definedName name="SG_03_20" localSheetId="17">#REF!</definedName>
    <definedName name="SG_03_20" localSheetId="18">#REF!</definedName>
    <definedName name="SG_03_20" localSheetId="20">#REF!</definedName>
    <definedName name="SG_03_20" localSheetId="21">#REF!</definedName>
    <definedName name="SG_03_20" localSheetId="7">#REF!</definedName>
    <definedName name="SG_03_20" localSheetId="3">#REF!</definedName>
    <definedName name="SG_03_20" localSheetId="11">#REF!</definedName>
    <definedName name="SG_03_20">'[14]Planilha PROJETISTA'!#REF!</definedName>
    <definedName name="SG_03_20_1" localSheetId="13">#REF!</definedName>
    <definedName name="SG_03_20_1" localSheetId="14">#REF!</definedName>
    <definedName name="SG_03_20_1" localSheetId="15">#REF!</definedName>
    <definedName name="SG_03_20_1" localSheetId="16">#REF!</definedName>
    <definedName name="SG_03_20_1" localSheetId="17">#REF!</definedName>
    <definedName name="SG_03_20_1" localSheetId="18">#REF!</definedName>
    <definedName name="SG_03_20_1" localSheetId="20">#REF!</definedName>
    <definedName name="SG_03_20_1" localSheetId="21">#REF!</definedName>
    <definedName name="SG_03_20_1" localSheetId="7">#REF!</definedName>
    <definedName name="SG_03_20_1" localSheetId="3">#REF!</definedName>
    <definedName name="SG_03_20_1" localSheetId="11">#REF!</definedName>
    <definedName name="SG_03_20_1">[5]RESUMO!#REF!</definedName>
    <definedName name="SG_04_01_1" localSheetId="13">#REF!</definedName>
    <definedName name="SG_04_01_1" localSheetId="14">#REF!</definedName>
    <definedName name="SG_04_01_1" localSheetId="15">#REF!</definedName>
    <definedName name="SG_04_01_1" localSheetId="16">#REF!</definedName>
    <definedName name="SG_04_01_1" localSheetId="17">#REF!</definedName>
    <definedName name="SG_04_01_1" localSheetId="18">#REF!</definedName>
    <definedName name="SG_04_01_1" localSheetId="20">#REF!</definedName>
    <definedName name="SG_04_01_1" localSheetId="21">#REF!</definedName>
    <definedName name="SG_04_01_1" localSheetId="7">#REF!</definedName>
    <definedName name="SG_04_01_1" localSheetId="3">#REF!</definedName>
    <definedName name="SG_04_01_1" localSheetId="11">#REF!</definedName>
    <definedName name="SG_04_01_1">[5]RESUMO!#REF!</definedName>
    <definedName name="SG_04_02_1" localSheetId="13">#REF!</definedName>
    <definedName name="SG_04_02_1" localSheetId="14">#REF!</definedName>
    <definedName name="SG_04_02_1" localSheetId="15">#REF!</definedName>
    <definedName name="SG_04_02_1" localSheetId="16">#REF!</definedName>
    <definedName name="SG_04_02_1" localSheetId="17">#REF!</definedName>
    <definedName name="SG_04_02_1" localSheetId="18">#REF!</definedName>
    <definedName name="SG_04_02_1" localSheetId="20">#REF!</definedName>
    <definedName name="SG_04_02_1" localSheetId="21">#REF!</definedName>
    <definedName name="SG_04_02_1" localSheetId="7">#REF!</definedName>
    <definedName name="SG_04_02_1" localSheetId="3">#REF!</definedName>
    <definedName name="SG_04_02_1" localSheetId="11">#REF!</definedName>
    <definedName name="SG_04_02_1">[5]RESUMO!#REF!</definedName>
    <definedName name="SG_04_03_1" localSheetId="13">#REF!</definedName>
    <definedName name="SG_04_03_1" localSheetId="14">#REF!</definedName>
    <definedName name="SG_04_03_1" localSheetId="15">#REF!</definedName>
    <definedName name="SG_04_03_1" localSheetId="16">#REF!</definedName>
    <definedName name="SG_04_03_1" localSheetId="17">#REF!</definedName>
    <definedName name="SG_04_03_1" localSheetId="18">#REF!</definedName>
    <definedName name="SG_04_03_1" localSheetId="20">#REF!</definedName>
    <definedName name="SG_04_03_1" localSheetId="21">#REF!</definedName>
    <definedName name="SG_04_03_1" localSheetId="7">#REF!</definedName>
    <definedName name="SG_04_03_1" localSheetId="3">#REF!</definedName>
    <definedName name="SG_04_03_1" localSheetId="11">#REF!</definedName>
    <definedName name="SG_04_03_1">[5]RESUMO!#REF!</definedName>
    <definedName name="SG_04_04" localSheetId="13">#REF!</definedName>
    <definedName name="SG_04_04" localSheetId="14">#REF!</definedName>
    <definedName name="SG_04_04" localSheetId="15">#REF!</definedName>
    <definedName name="SG_04_04" localSheetId="16">#REF!</definedName>
    <definedName name="SG_04_04" localSheetId="17">#REF!</definedName>
    <definedName name="SG_04_04" localSheetId="18">#REF!</definedName>
    <definedName name="SG_04_04" localSheetId="20">#REF!</definedName>
    <definedName name="SG_04_04" localSheetId="21">#REF!</definedName>
    <definedName name="SG_04_04" localSheetId="7">#REF!</definedName>
    <definedName name="SG_04_04" localSheetId="3">#REF!</definedName>
    <definedName name="SG_04_04" localSheetId="11">#REF!</definedName>
    <definedName name="SG_04_04">'[14]Planilha PROJETISTA'!#REF!</definedName>
    <definedName name="SG_04_04_1" localSheetId="13">#REF!</definedName>
    <definedName name="SG_04_04_1" localSheetId="14">#REF!</definedName>
    <definedName name="SG_04_04_1" localSheetId="15">#REF!</definedName>
    <definedName name="SG_04_04_1" localSheetId="16">#REF!</definedName>
    <definedName name="SG_04_04_1" localSheetId="17">#REF!</definedName>
    <definedName name="SG_04_04_1" localSheetId="18">#REF!</definedName>
    <definedName name="SG_04_04_1" localSheetId="20">#REF!</definedName>
    <definedName name="SG_04_04_1" localSheetId="21">#REF!</definedName>
    <definedName name="SG_04_04_1" localSheetId="7">#REF!</definedName>
    <definedName name="SG_04_04_1" localSheetId="3">#REF!</definedName>
    <definedName name="SG_04_04_1" localSheetId="11">#REF!</definedName>
    <definedName name="SG_04_04_1">[5]RESUMO!#REF!</definedName>
    <definedName name="SG_04_05" localSheetId="13">#REF!</definedName>
    <definedName name="SG_04_05" localSheetId="14">#REF!</definedName>
    <definedName name="SG_04_05" localSheetId="15">#REF!</definedName>
    <definedName name="SG_04_05" localSheetId="16">#REF!</definedName>
    <definedName name="SG_04_05" localSheetId="17">#REF!</definedName>
    <definedName name="SG_04_05" localSheetId="18">#REF!</definedName>
    <definedName name="SG_04_05" localSheetId="20">#REF!</definedName>
    <definedName name="SG_04_05" localSheetId="21">#REF!</definedName>
    <definedName name="SG_04_05" localSheetId="7">#REF!</definedName>
    <definedName name="SG_04_05" localSheetId="3">#REF!</definedName>
    <definedName name="SG_04_05" localSheetId="11">#REF!</definedName>
    <definedName name="SG_04_05">'[14]Planilha PROJETISTA'!#REF!</definedName>
    <definedName name="SG_04_05_1" localSheetId="13">#REF!</definedName>
    <definedName name="SG_04_05_1" localSheetId="14">#REF!</definedName>
    <definedName name="SG_04_05_1" localSheetId="15">#REF!</definedName>
    <definedName name="SG_04_05_1" localSheetId="16">#REF!</definedName>
    <definedName name="SG_04_05_1" localSheetId="17">#REF!</definedName>
    <definedName name="SG_04_05_1" localSheetId="18">#REF!</definedName>
    <definedName name="SG_04_05_1" localSheetId="20">#REF!</definedName>
    <definedName name="SG_04_05_1" localSheetId="21">#REF!</definedName>
    <definedName name="SG_04_05_1" localSheetId="7">#REF!</definedName>
    <definedName name="SG_04_05_1" localSheetId="3">#REF!</definedName>
    <definedName name="SG_04_05_1" localSheetId="11">#REF!</definedName>
    <definedName name="SG_04_05_1">[5]RESUMO!#REF!</definedName>
    <definedName name="SG_04_06" localSheetId="13">#REF!</definedName>
    <definedName name="SG_04_06" localSheetId="14">#REF!</definedName>
    <definedName name="SG_04_06" localSheetId="15">#REF!</definedName>
    <definedName name="SG_04_06" localSheetId="16">#REF!</definedName>
    <definedName name="SG_04_06" localSheetId="17">#REF!</definedName>
    <definedName name="SG_04_06" localSheetId="18">#REF!</definedName>
    <definedName name="SG_04_06" localSheetId="20">#REF!</definedName>
    <definedName name="SG_04_06" localSheetId="21">#REF!</definedName>
    <definedName name="SG_04_06" localSheetId="7">#REF!</definedName>
    <definedName name="SG_04_06" localSheetId="3">#REF!</definedName>
    <definedName name="SG_04_06" localSheetId="11">#REF!</definedName>
    <definedName name="SG_04_06">'[14]Planilha PROJETISTA'!#REF!</definedName>
    <definedName name="SG_04_06_1" localSheetId="13">#REF!</definedName>
    <definedName name="SG_04_06_1" localSheetId="14">#REF!</definedName>
    <definedName name="SG_04_06_1" localSheetId="15">#REF!</definedName>
    <definedName name="SG_04_06_1" localSheetId="16">#REF!</definedName>
    <definedName name="SG_04_06_1" localSheetId="17">#REF!</definedName>
    <definedName name="SG_04_06_1" localSheetId="18">#REF!</definedName>
    <definedName name="SG_04_06_1" localSheetId="20">#REF!</definedName>
    <definedName name="SG_04_06_1" localSheetId="21">#REF!</definedName>
    <definedName name="SG_04_06_1" localSheetId="7">#REF!</definedName>
    <definedName name="SG_04_06_1" localSheetId="3">#REF!</definedName>
    <definedName name="SG_04_06_1" localSheetId="11">#REF!</definedName>
    <definedName name="SG_04_06_1">[5]RESUMO!#REF!</definedName>
    <definedName name="SG_04_07" localSheetId="13">#REF!</definedName>
    <definedName name="SG_04_07" localSheetId="14">#REF!</definedName>
    <definedName name="SG_04_07" localSheetId="15">#REF!</definedName>
    <definedName name="SG_04_07" localSheetId="16">#REF!</definedName>
    <definedName name="SG_04_07" localSheetId="17">#REF!</definedName>
    <definedName name="SG_04_07" localSheetId="18">#REF!</definedName>
    <definedName name="SG_04_07" localSheetId="20">#REF!</definedName>
    <definedName name="SG_04_07" localSheetId="21">#REF!</definedName>
    <definedName name="SG_04_07" localSheetId="7">#REF!</definedName>
    <definedName name="SG_04_07" localSheetId="3">#REF!</definedName>
    <definedName name="SG_04_07" localSheetId="11">#REF!</definedName>
    <definedName name="SG_04_07">'[14]Planilha PROJETISTA'!#REF!</definedName>
    <definedName name="SG_04_07_1" localSheetId="13">#REF!</definedName>
    <definedName name="SG_04_07_1" localSheetId="14">#REF!</definedName>
    <definedName name="SG_04_07_1" localSheetId="15">#REF!</definedName>
    <definedName name="SG_04_07_1" localSheetId="16">#REF!</definedName>
    <definedName name="SG_04_07_1" localSheetId="17">#REF!</definedName>
    <definedName name="SG_04_07_1" localSheetId="18">#REF!</definedName>
    <definedName name="SG_04_07_1" localSheetId="20">#REF!</definedName>
    <definedName name="SG_04_07_1" localSheetId="21">#REF!</definedName>
    <definedName name="SG_04_07_1" localSheetId="7">#REF!</definedName>
    <definedName name="SG_04_07_1" localSheetId="3">#REF!</definedName>
    <definedName name="SG_04_07_1" localSheetId="11">#REF!</definedName>
    <definedName name="SG_04_07_1">[5]RESUMO!#REF!</definedName>
    <definedName name="SG_04_08" localSheetId="13">#REF!</definedName>
    <definedName name="SG_04_08" localSheetId="14">#REF!</definedName>
    <definedName name="SG_04_08" localSheetId="15">#REF!</definedName>
    <definedName name="SG_04_08" localSheetId="16">#REF!</definedName>
    <definedName name="SG_04_08" localSheetId="17">#REF!</definedName>
    <definedName name="SG_04_08" localSheetId="18">#REF!</definedName>
    <definedName name="SG_04_08" localSheetId="20">#REF!</definedName>
    <definedName name="SG_04_08" localSheetId="21">#REF!</definedName>
    <definedName name="SG_04_08" localSheetId="7">#REF!</definedName>
    <definedName name="SG_04_08" localSheetId="3">#REF!</definedName>
    <definedName name="SG_04_08" localSheetId="11">#REF!</definedName>
    <definedName name="SG_04_08">'[14]Planilha PROJETISTA'!#REF!</definedName>
    <definedName name="SG_04_08_1" localSheetId="13">#REF!</definedName>
    <definedName name="SG_04_08_1" localSheetId="14">#REF!</definedName>
    <definedName name="SG_04_08_1" localSheetId="15">#REF!</definedName>
    <definedName name="SG_04_08_1" localSheetId="16">#REF!</definedName>
    <definedName name="SG_04_08_1" localSheetId="17">#REF!</definedName>
    <definedName name="SG_04_08_1" localSheetId="18">#REF!</definedName>
    <definedName name="SG_04_08_1" localSheetId="20">#REF!</definedName>
    <definedName name="SG_04_08_1" localSheetId="21">#REF!</definedName>
    <definedName name="SG_04_08_1" localSheetId="7">#REF!</definedName>
    <definedName name="SG_04_08_1" localSheetId="3">#REF!</definedName>
    <definedName name="SG_04_08_1" localSheetId="11">#REF!</definedName>
    <definedName name="SG_04_08_1">[5]RESUMO!#REF!</definedName>
    <definedName name="SG_04_09" localSheetId="13">#REF!</definedName>
    <definedName name="SG_04_09" localSheetId="14">#REF!</definedName>
    <definedName name="SG_04_09" localSheetId="15">#REF!</definedName>
    <definedName name="SG_04_09" localSheetId="16">#REF!</definedName>
    <definedName name="SG_04_09" localSheetId="17">#REF!</definedName>
    <definedName name="SG_04_09" localSheetId="18">#REF!</definedName>
    <definedName name="SG_04_09" localSheetId="20">#REF!</definedName>
    <definedName name="SG_04_09" localSheetId="21">#REF!</definedName>
    <definedName name="SG_04_09" localSheetId="7">#REF!</definedName>
    <definedName name="SG_04_09" localSheetId="3">#REF!</definedName>
    <definedName name="SG_04_09" localSheetId="11">#REF!</definedName>
    <definedName name="SG_04_09">'[14]Planilha PROJETISTA'!#REF!</definedName>
    <definedName name="SG_04_09_1" localSheetId="13">#REF!</definedName>
    <definedName name="SG_04_09_1" localSheetId="14">#REF!</definedName>
    <definedName name="SG_04_09_1" localSheetId="15">#REF!</definedName>
    <definedName name="SG_04_09_1" localSheetId="16">#REF!</definedName>
    <definedName name="SG_04_09_1" localSheetId="17">#REF!</definedName>
    <definedName name="SG_04_09_1" localSheetId="18">#REF!</definedName>
    <definedName name="SG_04_09_1" localSheetId="20">#REF!</definedName>
    <definedName name="SG_04_09_1" localSheetId="21">#REF!</definedName>
    <definedName name="SG_04_09_1" localSheetId="7">#REF!</definedName>
    <definedName name="SG_04_09_1" localSheetId="3">#REF!</definedName>
    <definedName name="SG_04_09_1" localSheetId="11">#REF!</definedName>
    <definedName name="SG_04_09_1">[5]RESUMO!#REF!</definedName>
    <definedName name="SG_04_10" localSheetId="13">#REF!</definedName>
    <definedName name="SG_04_10" localSheetId="14">#REF!</definedName>
    <definedName name="SG_04_10" localSheetId="15">#REF!</definedName>
    <definedName name="SG_04_10" localSheetId="16">#REF!</definedName>
    <definedName name="SG_04_10" localSheetId="17">#REF!</definedName>
    <definedName name="SG_04_10" localSheetId="18">#REF!</definedName>
    <definedName name="SG_04_10" localSheetId="20">#REF!</definedName>
    <definedName name="SG_04_10" localSheetId="21">#REF!</definedName>
    <definedName name="SG_04_10" localSheetId="7">#REF!</definedName>
    <definedName name="SG_04_10" localSheetId="3">#REF!</definedName>
    <definedName name="SG_04_10" localSheetId="11">#REF!</definedName>
    <definedName name="SG_04_10">'[14]Planilha PROJETISTA'!#REF!</definedName>
    <definedName name="SG_04_10_1" localSheetId="13">#REF!</definedName>
    <definedName name="SG_04_10_1" localSheetId="14">#REF!</definedName>
    <definedName name="SG_04_10_1" localSheetId="15">#REF!</definedName>
    <definedName name="SG_04_10_1" localSheetId="16">#REF!</definedName>
    <definedName name="SG_04_10_1" localSheetId="17">#REF!</definedName>
    <definedName name="SG_04_10_1" localSheetId="18">#REF!</definedName>
    <definedName name="SG_04_10_1" localSheetId="20">#REF!</definedName>
    <definedName name="SG_04_10_1" localSheetId="21">#REF!</definedName>
    <definedName name="SG_04_10_1" localSheetId="7">#REF!</definedName>
    <definedName name="SG_04_10_1" localSheetId="3">#REF!</definedName>
    <definedName name="SG_04_10_1" localSheetId="11">#REF!</definedName>
    <definedName name="SG_04_10_1">[5]RESUMO!#REF!</definedName>
    <definedName name="SG_04_11" localSheetId="13">#REF!</definedName>
    <definedName name="SG_04_11" localSheetId="14">#REF!</definedName>
    <definedName name="SG_04_11" localSheetId="15">#REF!</definedName>
    <definedName name="SG_04_11" localSheetId="16">#REF!</definedName>
    <definedName name="SG_04_11" localSheetId="17">#REF!</definedName>
    <definedName name="SG_04_11" localSheetId="18">#REF!</definedName>
    <definedName name="SG_04_11" localSheetId="20">#REF!</definedName>
    <definedName name="SG_04_11" localSheetId="21">#REF!</definedName>
    <definedName name="SG_04_11" localSheetId="7">#REF!</definedName>
    <definedName name="SG_04_11" localSheetId="3">#REF!</definedName>
    <definedName name="SG_04_11" localSheetId="11">#REF!</definedName>
    <definedName name="SG_04_11">'[14]Planilha PROJETISTA'!#REF!</definedName>
    <definedName name="SG_04_11_1" localSheetId="13">#REF!</definedName>
    <definedName name="SG_04_11_1" localSheetId="14">#REF!</definedName>
    <definedName name="SG_04_11_1" localSheetId="15">#REF!</definedName>
    <definedName name="SG_04_11_1" localSheetId="16">#REF!</definedName>
    <definedName name="SG_04_11_1" localSheetId="17">#REF!</definedName>
    <definedName name="SG_04_11_1" localSheetId="18">#REF!</definedName>
    <definedName name="SG_04_11_1" localSheetId="20">#REF!</definedName>
    <definedName name="SG_04_11_1" localSheetId="21">#REF!</definedName>
    <definedName name="SG_04_11_1" localSheetId="7">#REF!</definedName>
    <definedName name="SG_04_11_1" localSheetId="3">#REF!</definedName>
    <definedName name="SG_04_11_1" localSheetId="11">#REF!</definedName>
    <definedName name="SG_04_11_1">[5]RESUMO!#REF!</definedName>
    <definedName name="SG_04_12" localSheetId="13">#REF!</definedName>
    <definedName name="SG_04_12" localSheetId="14">#REF!</definedName>
    <definedName name="SG_04_12" localSheetId="15">#REF!</definedName>
    <definedName name="SG_04_12" localSheetId="16">#REF!</definedName>
    <definedName name="SG_04_12" localSheetId="17">#REF!</definedName>
    <definedName name="SG_04_12" localSheetId="18">#REF!</definedName>
    <definedName name="SG_04_12" localSheetId="20">#REF!</definedName>
    <definedName name="SG_04_12" localSheetId="21">#REF!</definedName>
    <definedName name="SG_04_12" localSheetId="7">#REF!</definedName>
    <definedName name="SG_04_12" localSheetId="3">#REF!</definedName>
    <definedName name="SG_04_12" localSheetId="11">#REF!</definedName>
    <definedName name="SG_04_12">'[14]Planilha PROJETISTA'!#REF!</definedName>
    <definedName name="SG_04_12_1" localSheetId="13">#REF!</definedName>
    <definedName name="SG_04_12_1" localSheetId="14">#REF!</definedName>
    <definedName name="SG_04_12_1" localSheetId="15">#REF!</definedName>
    <definedName name="SG_04_12_1" localSheetId="16">#REF!</definedName>
    <definedName name="SG_04_12_1" localSheetId="17">#REF!</definedName>
    <definedName name="SG_04_12_1" localSheetId="18">#REF!</definedName>
    <definedName name="SG_04_12_1" localSheetId="20">#REF!</definedName>
    <definedName name="SG_04_12_1" localSheetId="21">#REF!</definedName>
    <definedName name="SG_04_12_1" localSheetId="7">#REF!</definedName>
    <definedName name="SG_04_12_1" localSheetId="3">#REF!</definedName>
    <definedName name="SG_04_12_1" localSheetId="11">#REF!</definedName>
    <definedName name="SG_04_12_1">[5]RESUMO!#REF!</definedName>
    <definedName name="SG_04_13" localSheetId="13">#REF!</definedName>
    <definedName name="SG_04_13" localSheetId="14">#REF!</definedName>
    <definedName name="SG_04_13" localSheetId="15">#REF!</definedName>
    <definedName name="SG_04_13" localSheetId="16">#REF!</definedName>
    <definedName name="SG_04_13" localSheetId="17">#REF!</definedName>
    <definedName name="SG_04_13" localSheetId="18">#REF!</definedName>
    <definedName name="SG_04_13" localSheetId="20">#REF!</definedName>
    <definedName name="SG_04_13" localSheetId="21">#REF!</definedName>
    <definedName name="SG_04_13" localSheetId="7">#REF!</definedName>
    <definedName name="SG_04_13" localSheetId="3">#REF!</definedName>
    <definedName name="SG_04_13" localSheetId="11">#REF!</definedName>
    <definedName name="SG_04_13">'[14]Planilha PROJETISTA'!#REF!</definedName>
    <definedName name="SG_04_13_1" localSheetId="13">#REF!</definedName>
    <definedName name="SG_04_13_1" localSheetId="14">#REF!</definedName>
    <definedName name="SG_04_13_1" localSheetId="15">#REF!</definedName>
    <definedName name="SG_04_13_1" localSheetId="16">#REF!</definedName>
    <definedName name="SG_04_13_1" localSheetId="17">#REF!</definedName>
    <definedName name="SG_04_13_1" localSheetId="18">#REF!</definedName>
    <definedName name="SG_04_13_1" localSheetId="20">#REF!</definedName>
    <definedName name="SG_04_13_1" localSheetId="21">#REF!</definedName>
    <definedName name="SG_04_13_1" localSheetId="7">#REF!</definedName>
    <definedName name="SG_04_13_1" localSheetId="3">#REF!</definedName>
    <definedName name="SG_04_13_1" localSheetId="11">#REF!</definedName>
    <definedName name="SG_04_13_1">[5]RESUMO!#REF!</definedName>
    <definedName name="SG_04_14" localSheetId="13">#REF!</definedName>
    <definedName name="SG_04_14" localSheetId="14">#REF!</definedName>
    <definedName name="SG_04_14" localSheetId="15">#REF!</definedName>
    <definedName name="SG_04_14" localSheetId="16">#REF!</definedName>
    <definedName name="SG_04_14" localSheetId="17">#REF!</definedName>
    <definedName name="SG_04_14" localSheetId="18">#REF!</definedName>
    <definedName name="SG_04_14" localSheetId="20">#REF!</definedName>
    <definedName name="SG_04_14" localSheetId="21">#REF!</definedName>
    <definedName name="SG_04_14" localSheetId="7">#REF!</definedName>
    <definedName name="SG_04_14" localSheetId="3">#REF!</definedName>
    <definedName name="SG_04_14" localSheetId="11">#REF!</definedName>
    <definedName name="SG_04_14">'[14]Planilha PROJETISTA'!#REF!</definedName>
    <definedName name="SG_04_14_1" localSheetId="13">#REF!</definedName>
    <definedName name="SG_04_14_1" localSheetId="14">#REF!</definedName>
    <definedName name="SG_04_14_1" localSheetId="15">#REF!</definedName>
    <definedName name="SG_04_14_1" localSheetId="16">#REF!</definedName>
    <definedName name="SG_04_14_1" localSheetId="17">#REF!</definedName>
    <definedName name="SG_04_14_1" localSheetId="18">#REF!</definedName>
    <definedName name="SG_04_14_1" localSheetId="20">#REF!</definedName>
    <definedName name="SG_04_14_1" localSheetId="21">#REF!</definedName>
    <definedName name="SG_04_14_1" localSheetId="7">#REF!</definedName>
    <definedName name="SG_04_14_1" localSheetId="3">#REF!</definedName>
    <definedName name="SG_04_14_1" localSheetId="11">#REF!</definedName>
    <definedName name="SG_04_14_1">[5]RESUMO!#REF!</definedName>
    <definedName name="SG_04_15" localSheetId="13">#REF!</definedName>
    <definedName name="SG_04_15" localSheetId="14">#REF!</definedName>
    <definedName name="SG_04_15" localSheetId="15">#REF!</definedName>
    <definedName name="SG_04_15" localSheetId="16">#REF!</definedName>
    <definedName name="SG_04_15" localSheetId="17">#REF!</definedName>
    <definedName name="SG_04_15" localSheetId="18">#REF!</definedName>
    <definedName name="SG_04_15" localSheetId="20">#REF!</definedName>
    <definedName name="SG_04_15" localSheetId="21">#REF!</definedName>
    <definedName name="SG_04_15" localSheetId="7">#REF!</definedName>
    <definedName name="SG_04_15" localSheetId="3">#REF!</definedName>
    <definedName name="SG_04_15" localSheetId="11">#REF!</definedName>
    <definedName name="SG_04_15">'[14]Planilha PROJETISTA'!#REF!</definedName>
    <definedName name="SG_04_15_1" localSheetId="13">#REF!</definedName>
    <definedName name="SG_04_15_1" localSheetId="14">#REF!</definedName>
    <definedName name="SG_04_15_1" localSheetId="15">#REF!</definedName>
    <definedName name="SG_04_15_1" localSheetId="16">#REF!</definedName>
    <definedName name="SG_04_15_1" localSheetId="17">#REF!</definedName>
    <definedName name="SG_04_15_1" localSheetId="18">#REF!</definedName>
    <definedName name="SG_04_15_1" localSheetId="20">#REF!</definedName>
    <definedName name="SG_04_15_1" localSheetId="21">#REF!</definedName>
    <definedName name="SG_04_15_1" localSheetId="7">#REF!</definedName>
    <definedName name="SG_04_15_1" localSheetId="3">#REF!</definedName>
    <definedName name="SG_04_15_1" localSheetId="11">#REF!</definedName>
    <definedName name="SG_04_15_1">[5]RESUMO!#REF!</definedName>
    <definedName name="SG_04_16" localSheetId="13">#REF!</definedName>
    <definedName name="SG_04_16" localSheetId="14">#REF!</definedName>
    <definedName name="SG_04_16" localSheetId="15">#REF!</definedName>
    <definedName name="SG_04_16" localSheetId="16">#REF!</definedName>
    <definedName name="SG_04_16" localSheetId="17">#REF!</definedName>
    <definedName name="SG_04_16" localSheetId="18">#REF!</definedName>
    <definedName name="SG_04_16" localSheetId="20">#REF!</definedName>
    <definedName name="SG_04_16" localSheetId="21">#REF!</definedName>
    <definedName name="SG_04_16" localSheetId="7">#REF!</definedName>
    <definedName name="SG_04_16" localSheetId="3">#REF!</definedName>
    <definedName name="SG_04_16" localSheetId="11">#REF!</definedName>
    <definedName name="SG_04_16">'[14]Planilha PROJETISTA'!#REF!</definedName>
    <definedName name="SG_04_16_1" localSheetId="13">#REF!</definedName>
    <definedName name="SG_04_16_1" localSheetId="14">#REF!</definedName>
    <definedName name="SG_04_16_1" localSheetId="15">#REF!</definedName>
    <definedName name="SG_04_16_1" localSheetId="16">#REF!</definedName>
    <definedName name="SG_04_16_1" localSheetId="17">#REF!</definedName>
    <definedName name="SG_04_16_1" localSheetId="18">#REF!</definedName>
    <definedName name="SG_04_16_1" localSheetId="20">#REF!</definedName>
    <definedName name="SG_04_16_1" localSheetId="21">#REF!</definedName>
    <definedName name="SG_04_16_1" localSheetId="7">#REF!</definedName>
    <definedName name="SG_04_16_1" localSheetId="3">#REF!</definedName>
    <definedName name="SG_04_16_1" localSheetId="11">#REF!</definedName>
    <definedName name="SG_04_16_1">[5]RESUMO!#REF!</definedName>
    <definedName name="SG_04_17" localSheetId="13">#REF!</definedName>
    <definedName name="SG_04_17" localSheetId="14">#REF!</definedName>
    <definedName name="SG_04_17" localSheetId="15">#REF!</definedName>
    <definedName name="SG_04_17" localSheetId="16">#REF!</definedName>
    <definedName name="SG_04_17" localSheetId="17">#REF!</definedName>
    <definedName name="SG_04_17" localSheetId="18">#REF!</definedName>
    <definedName name="SG_04_17" localSheetId="20">#REF!</definedName>
    <definedName name="SG_04_17" localSheetId="21">#REF!</definedName>
    <definedName name="SG_04_17" localSheetId="7">#REF!</definedName>
    <definedName name="SG_04_17" localSheetId="3">#REF!</definedName>
    <definedName name="SG_04_17" localSheetId="11">#REF!</definedName>
    <definedName name="SG_04_17">'[14]Planilha PROJETISTA'!#REF!</definedName>
    <definedName name="SG_04_17_1" localSheetId="13">#REF!</definedName>
    <definedName name="SG_04_17_1" localSheetId="14">#REF!</definedName>
    <definedName name="SG_04_17_1" localSheetId="15">#REF!</definedName>
    <definedName name="SG_04_17_1" localSheetId="16">#REF!</definedName>
    <definedName name="SG_04_17_1" localSheetId="17">#REF!</definedName>
    <definedName name="SG_04_17_1" localSheetId="18">#REF!</definedName>
    <definedName name="SG_04_17_1" localSheetId="20">#REF!</definedName>
    <definedName name="SG_04_17_1" localSheetId="21">#REF!</definedName>
    <definedName name="SG_04_17_1" localSheetId="7">#REF!</definedName>
    <definedName name="SG_04_17_1" localSheetId="3">#REF!</definedName>
    <definedName name="SG_04_17_1" localSheetId="11">#REF!</definedName>
    <definedName name="SG_04_17_1">[5]RESUMO!#REF!</definedName>
    <definedName name="SG_04_18" localSheetId="13">#REF!</definedName>
    <definedName name="SG_04_18" localSheetId="14">#REF!</definedName>
    <definedName name="SG_04_18" localSheetId="15">#REF!</definedName>
    <definedName name="SG_04_18" localSheetId="16">#REF!</definedName>
    <definedName name="SG_04_18" localSheetId="17">#REF!</definedName>
    <definedName name="SG_04_18" localSheetId="18">#REF!</definedName>
    <definedName name="SG_04_18" localSheetId="20">#REF!</definedName>
    <definedName name="SG_04_18" localSheetId="21">#REF!</definedName>
    <definedName name="SG_04_18" localSheetId="7">#REF!</definedName>
    <definedName name="SG_04_18" localSheetId="3">#REF!</definedName>
    <definedName name="SG_04_18" localSheetId="11">#REF!</definedName>
    <definedName name="SG_04_18">'[14]Planilha PROJETISTA'!#REF!</definedName>
    <definedName name="SG_04_18_1" localSheetId="13">#REF!</definedName>
    <definedName name="SG_04_18_1" localSheetId="14">#REF!</definedName>
    <definedName name="SG_04_18_1" localSheetId="15">#REF!</definedName>
    <definedName name="SG_04_18_1" localSheetId="16">#REF!</definedName>
    <definedName name="SG_04_18_1" localSheetId="17">#REF!</definedName>
    <definedName name="SG_04_18_1" localSheetId="18">#REF!</definedName>
    <definedName name="SG_04_18_1" localSheetId="20">#REF!</definedName>
    <definedName name="SG_04_18_1" localSheetId="21">#REF!</definedName>
    <definedName name="SG_04_18_1" localSheetId="7">#REF!</definedName>
    <definedName name="SG_04_18_1" localSheetId="3">#REF!</definedName>
    <definedName name="SG_04_18_1" localSheetId="11">#REF!</definedName>
    <definedName name="SG_04_18_1">[5]RESUMO!#REF!</definedName>
    <definedName name="SG_04_19" localSheetId="13">#REF!</definedName>
    <definedName name="SG_04_19" localSheetId="14">#REF!</definedName>
    <definedName name="SG_04_19" localSheetId="15">#REF!</definedName>
    <definedName name="SG_04_19" localSheetId="16">#REF!</definedName>
    <definedName name="SG_04_19" localSheetId="17">#REF!</definedName>
    <definedName name="SG_04_19" localSheetId="18">#REF!</definedName>
    <definedName name="SG_04_19" localSheetId="20">#REF!</definedName>
    <definedName name="SG_04_19" localSheetId="21">#REF!</definedName>
    <definedName name="SG_04_19" localSheetId="7">#REF!</definedName>
    <definedName name="SG_04_19" localSheetId="3">#REF!</definedName>
    <definedName name="SG_04_19" localSheetId="11">#REF!</definedName>
    <definedName name="SG_04_19">'[14]Planilha PROJETISTA'!#REF!</definedName>
    <definedName name="SG_04_19_1" localSheetId="13">#REF!</definedName>
    <definedName name="SG_04_19_1" localSheetId="14">#REF!</definedName>
    <definedName name="SG_04_19_1" localSheetId="15">#REF!</definedName>
    <definedName name="SG_04_19_1" localSheetId="16">#REF!</definedName>
    <definedName name="SG_04_19_1" localSheetId="17">#REF!</definedName>
    <definedName name="SG_04_19_1" localSheetId="18">#REF!</definedName>
    <definedName name="SG_04_19_1" localSheetId="20">#REF!</definedName>
    <definedName name="SG_04_19_1" localSheetId="21">#REF!</definedName>
    <definedName name="SG_04_19_1" localSheetId="7">#REF!</definedName>
    <definedName name="SG_04_19_1" localSheetId="3">#REF!</definedName>
    <definedName name="SG_04_19_1" localSheetId="11">#REF!</definedName>
    <definedName name="SG_04_19_1">[5]RESUMO!#REF!</definedName>
    <definedName name="SG_04_20" localSheetId="13">#REF!</definedName>
    <definedName name="SG_04_20" localSheetId="14">#REF!</definedName>
    <definedName name="SG_04_20" localSheetId="15">#REF!</definedName>
    <definedName name="SG_04_20" localSheetId="16">#REF!</definedName>
    <definedName name="SG_04_20" localSheetId="17">#REF!</definedName>
    <definedName name="SG_04_20" localSheetId="18">#REF!</definedName>
    <definedName name="SG_04_20" localSheetId="20">#REF!</definedName>
    <definedName name="SG_04_20" localSheetId="21">#REF!</definedName>
    <definedName name="SG_04_20" localSheetId="7">#REF!</definedName>
    <definedName name="SG_04_20" localSheetId="3">#REF!</definedName>
    <definedName name="SG_04_20" localSheetId="11">#REF!</definedName>
    <definedName name="SG_04_20">'[14]Planilha PROJETISTA'!#REF!</definedName>
    <definedName name="SG_04_20_1" localSheetId="13">#REF!</definedName>
    <definedName name="SG_04_20_1" localSheetId="14">#REF!</definedName>
    <definedName name="SG_04_20_1" localSheetId="15">#REF!</definedName>
    <definedName name="SG_04_20_1" localSheetId="16">#REF!</definedName>
    <definedName name="SG_04_20_1" localSheetId="17">#REF!</definedName>
    <definedName name="SG_04_20_1" localSheetId="18">#REF!</definedName>
    <definedName name="SG_04_20_1" localSheetId="20">#REF!</definedName>
    <definedName name="SG_04_20_1" localSheetId="21">#REF!</definedName>
    <definedName name="SG_04_20_1" localSheetId="7">#REF!</definedName>
    <definedName name="SG_04_20_1" localSheetId="3">#REF!</definedName>
    <definedName name="SG_04_20_1" localSheetId="11">#REF!</definedName>
    <definedName name="SG_04_20_1">[5]RESUMO!#REF!</definedName>
    <definedName name="SG_05_01_1" localSheetId="13">#REF!</definedName>
    <definedName name="SG_05_01_1" localSheetId="14">#REF!</definedName>
    <definedName name="SG_05_01_1" localSheetId="15">#REF!</definedName>
    <definedName name="SG_05_01_1" localSheetId="16">#REF!</definedName>
    <definedName name="SG_05_01_1" localSheetId="17">#REF!</definedName>
    <definedName name="SG_05_01_1" localSheetId="18">#REF!</definedName>
    <definedName name="SG_05_01_1" localSheetId="20">#REF!</definedName>
    <definedName name="SG_05_01_1" localSheetId="21">#REF!</definedName>
    <definedName name="SG_05_01_1" localSheetId="7">#REF!</definedName>
    <definedName name="SG_05_01_1" localSheetId="3">#REF!</definedName>
    <definedName name="SG_05_01_1" localSheetId="11">#REF!</definedName>
    <definedName name="SG_05_01_1">[5]RESUMO!#REF!</definedName>
    <definedName name="SG_05_02" localSheetId="13">#REF!</definedName>
    <definedName name="SG_05_02" localSheetId="14">#REF!</definedName>
    <definedName name="SG_05_02" localSheetId="15">#REF!</definedName>
    <definedName name="SG_05_02" localSheetId="16">#REF!</definedName>
    <definedName name="SG_05_02" localSheetId="17">#REF!</definedName>
    <definedName name="SG_05_02" localSheetId="18">#REF!</definedName>
    <definedName name="SG_05_02" localSheetId="20">#REF!</definedName>
    <definedName name="SG_05_02" localSheetId="21">#REF!</definedName>
    <definedName name="SG_05_02" localSheetId="7">#REF!</definedName>
    <definedName name="SG_05_02" localSheetId="3">#REF!</definedName>
    <definedName name="SG_05_02" localSheetId="11">#REF!</definedName>
    <definedName name="SG_05_02">'[14]Planilha PROJETISTA'!#REF!</definedName>
    <definedName name="SG_05_02_1" localSheetId="13">#REF!</definedName>
    <definedName name="SG_05_02_1" localSheetId="14">#REF!</definedName>
    <definedName name="SG_05_02_1" localSheetId="15">#REF!</definedName>
    <definedName name="SG_05_02_1" localSheetId="16">#REF!</definedName>
    <definedName name="SG_05_02_1" localSheetId="17">#REF!</definedName>
    <definedName name="SG_05_02_1" localSheetId="18">#REF!</definedName>
    <definedName name="SG_05_02_1" localSheetId="20">#REF!</definedName>
    <definedName name="SG_05_02_1" localSheetId="21">#REF!</definedName>
    <definedName name="SG_05_02_1" localSheetId="7">#REF!</definedName>
    <definedName name="SG_05_02_1" localSheetId="3">#REF!</definedName>
    <definedName name="SG_05_02_1" localSheetId="11">#REF!</definedName>
    <definedName name="SG_05_02_1">[5]RESUMO!#REF!</definedName>
    <definedName name="SG_05_03" localSheetId="13">#REF!</definedName>
    <definedName name="SG_05_03" localSheetId="14">#REF!</definedName>
    <definedName name="SG_05_03" localSheetId="15">#REF!</definedName>
    <definedName name="SG_05_03" localSheetId="16">#REF!</definedName>
    <definedName name="SG_05_03" localSheetId="17">#REF!</definedName>
    <definedName name="SG_05_03" localSheetId="18">#REF!</definedName>
    <definedName name="SG_05_03" localSheetId="20">#REF!</definedName>
    <definedName name="SG_05_03" localSheetId="21">#REF!</definedName>
    <definedName name="SG_05_03" localSheetId="7">#REF!</definedName>
    <definedName name="SG_05_03" localSheetId="3">#REF!</definedName>
    <definedName name="SG_05_03" localSheetId="11">#REF!</definedName>
    <definedName name="SG_05_03">'[14]Planilha PROJETISTA'!#REF!</definedName>
    <definedName name="SG_05_03_1" localSheetId="13">#REF!</definedName>
    <definedName name="SG_05_03_1" localSheetId="14">#REF!</definedName>
    <definedName name="SG_05_03_1" localSheetId="15">#REF!</definedName>
    <definedName name="SG_05_03_1" localSheetId="16">#REF!</definedName>
    <definedName name="SG_05_03_1" localSheetId="17">#REF!</definedName>
    <definedName name="SG_05_03_1" localSheetId="18">#REF!</definedName>
    <definedName name="SG_05_03_1" localSheetId="20">#REF!</definedName>
    <definedName name="SG_05_03_1" localSheetId="21">#REF!</definedName>
    <definedName name="SG_05_03_1" localSheetId="7">#REF!</definedName>
    <definedName name="SG_05_03_1" localSheetId="3">#REF!</definedName>
    <definedName name="SG_05_03_1" localSheetId="11">#REF!</definedName>
    <definedName name="SG_05_03_1">[5]RESUMO!#REF!</definedName>
    <definedName name="SG_05_04_1" localSheetId="13">#REF!</definedName>
    <definedName name="SG_05_04_1" localSheetId="14">#REF!</definedName>
    <definedName name="SG_05_04_1" localSheetId="15">#REF!</definedName>
    <definedName name="SG_05_04_1" localSheetId="16">#REF!</definedName>
    <definedName name="SG_05_04_1" localSheetId="17">#REF!</definedName>
    <definedName name="SG_05_04_1" localSheetId="18">#REF!</definedName>
    <definedName name="SG_05_04_1" localSheetId="20">#REF!</definedName>
    <definedName name="SG_05_04_1" localSheetId="21">#REF!</definedName>
    <definedName name="SG_05_04_1" localSheetId="7">#REF!</definedName>
    <definedName name="SG_05_04_1" localSheetId="3">#REF!</definedName>
    <definedName name="SG_05_04_1" localSheetId="11">#REF!</definedName>
    <definedName name="SG_05_04_1">[5]RESUMO!#REF!</definedName>
    <definedName name="SG_05_05_1" localSheetId="13">#REF!</definedName>
    <definedName name="SG_05_05_1" localSheetId="14">#REF!</definedName>
    <definedName name="SG_05_05_1" localSheetId="15">#REF!</definedName>
    <definedName name="SG_05_05_1" localSheetId="16">#REF!</definedName>
    <definedName name="SG_05_05_1" localSheetId="17">#REF!</definedName>
    <definedName name="SG_05_05_1" localSheetId="18">#REF!</definedName>
    <definedName name="SG_05_05_1" localSheetId="20">#REF!</definedName>
    <definedName name="SG_05_05_1" localSheetId="21">#REF!</definedName>
    <definedName name="SG_05_05_1" localSheetId="7">#REF!</definedName>
    <definedName name="SG_05_05_1" localSheetId="3">#REF!</definedName>
    <definedName name="SG_05_05_1" localSheetId="11">#REF!</definedName>
    <definedName name="SG_05_05_1">[5]RESUMO!#REF!</definedName>
    <definedName name="SG_05_06_1" localSheetId="13">#REF!</definedName>
    <definedName name="SG_05_06_1" localSheetId="14">#REF!</definedName>
    <definedName name="SG_05_06_1" localSheetId="15">#REF!</definedName>
    <definedName name="SG_05_06_1" localSheetId="16">#REF!</definedName>
    <definedName name="SG_05_06_1" localSheetId="17">#REF!</definedName>
    <definedName name="SG_05_06_1" localSheetId="18">#REF!</definedName>
    <definedName name="SG_05_06_1" localSheetId="20">#REF!</definedName>
    <definedName name="SG_05_06_1" localSheetId="21">#REF!</definedName>
    <definedName name="SG_05_06_1" localSheetId="7">#REF!</definedName>
    <definedName name="SG_05_06_1" localSheetId="3">#REF!</definedName>
    <definedName name="SG_05_06_1" localSheetId="11">#REF!</definedName>
    <definedName name="SG_05_06_1">[5]RESUMO!#REF!</definedName>
    <definedName name="SG_05_07" localSheetId="13">#REF!</definedName>
    <definedName name="SG_05_07" localSheetId="14">#REF!</definedName>
    <definedName name="SG_05_07" localSheetId="15">#REF!</definedName>
    <definedName name="SG_05_07" localSheetId="16">#REF!</definedName>
    <definedName name="SG_05_07" localSheetId="17">#REF!</definedName>
    <definedName name="SG_05_07" localSheetId="18">#REF!</definedName>
    <definedName name="SG_05_07" localSheetId="20">#REF!</definedName>
    <definedName name="SG_05_07" localSheetId="21">#REF!</definedName>
    <definedName name="SG_05_07" localSheetId="7">#REF!</definedName>
    <definedName name="SG_05_07" localSheetId="3">#REF!</definedName>
    <definedName name="SG_05_07" localSheetId="11">#REF!</definedName>
    <definedName name="SG_05_07">'[14]Planilha PROJETISTA'!#REF!</definedName>
    <definedName name="SG_05_07_1" localSheetId="13">#REF!</definedName>
    <definedName name="SG_05_07_1" localSheetId="14">#REF!</definedName>
    <definedName name="SG_05_07_1" localSheetId="15">#REF!</definedName>
    <definedName name="SG_05_07_1" localSheetId="16">#REF!</definedName>
    <definedName name="SG_05_07_1" localSheetId="17">#REF!</definedName>
    <definedName name="SG_05_07_1" localSheetId="18">#REF!</definedName>
    <definedName name="SG_05_07_1" localSheetId="20">#REF!</definedName>
    <definedName name="SG_05_07_1" localSheetId="21">#REF!</definedName>
    <definedName name="SG_05_07_1" localSheetId="7">#REF!</definedName>
    <definedName name="SG_05_07_1" localSheetId="3">#REF!</definedName>
    <definedName name="SG_05_07_1" localSheetId="11">#REF!</definedName>
    <definedName name="SG_05_07_1">[5]RESUMO!#REF!</definedName>
    <definedName name="SG_05_08" localSheetId="13">#REF!</definedName>
    <definedName name="SG_05_08" localSheetId="14">#REF!</definedName>
    <definedName name="SG_05_08" localSheetId="15">#REF!</definedName>
    <definedName name="SG_05_08" localSheetId="16">#REF!</definedName>
    <definedName name="SG_05_08" localSheetId="17">#REF!</definedName>
    <definedName name="SG_05_08" localSheetId="18">#REF!</definedName>
    <definedName name="SG_05_08" localSheetId="20">#REF!</definedName>
    <definedName name="SG_05_08" localSheetId="21">#REF!</definedName>
    <definedName name="SG_05_08" localSheetId="7">#REF!</definedName>
    <definedName name="SG_05_08" localSheetId="3">#REF!</definedName>
    <definedName name="SG_05_08" localSheetId="11">#REF!</definedName>
    <definedName name="SG_05_08">'[14]Planilha PROJETISTA'!#REF!</definedName>
    <definedName name="SG_05_08_1" localSheetId="13">#REF!</definedName>
    <definedName name="SG_05_08_1" localSheetId="14">#REF!</definedName>
    <definedName name="SG_05_08_1" localSheetId="15">#REF!</definedName>
    <definedName name="SG_05_08_1" localSheetId="16">#REF!</definedName>
    <definedName name="SG_05_08_1" localSheetId="17">#REF!</definedName>
    <definedName name="SG_05_08_1" localSheetId="18">#REF!</definedName>
    <definedName name="SG_05_08_1" localSheetId="20">#REF!</definedName>
    <definedName name="SG_05_08_1" localSheetId="21">#REF!</definedName>
    <definedName name="SG_05_08_1" localSheetId="7">#REF!</definedName>
    <definedName name="SG_05_08_1" localSheetId="3">#REF!</definedName>
    <definedName name="SG_05_08_1" localSheetId="11">#REF!</definedName>
    <definedName name="SG_05_08_1">[5]RESUMO!#REF!</definedName>
    <definedName name="SG_05_09_1" localSheetId="13">#REF!</definedName>
    <definedName name="SG_05_09_1" localSheetId="14">#REF!</definedName>
    <definedName name="SG_05_09_1" localSheetId="15">#REF!</definedName>
    <definedName name="SG_05_09_1" localSheetId="16">#REF!</definedName>
    <definedName name="SG_05_09_1" localSheetId="17">#REF!</definedName>
    <definedName name="SG_05_09_1" localSheetId="18">#REF!</definedName>
    <definedName name="SG_05_09_1" localSheetId="20">#REF!</definedName>
    <definedName name="SG_05_09_1" localSheetId="21">#REF!</definedName>
    <definedName name="SG_05_09_1" localSheetId="7">#REF!</definedName>
    <definedName name="SG_05_09_1" localSheetId="3">#REF!</definedName>
    <definedName name="SG_05_09_1" localSheetId="11">#REF!</definedName>
    <definedName name="SG_05_09_1">[5]RESUMO!#REF!</definedName>
    <definedName name="SG_05_10_1" localSheetId="13">#REF!</definedName>
    <definedName name="SG_05_10_1" localSheetId="14">#REF!</definedName>
    <definedName name="SG_05_10_1" localSheetId="15">#REF!</definedName>
    <definedName name="SG_05_10_1" localSheetId="16">#REF!</definedName>
    <definedName name="SG_05_10_1" localSheetId="17">#REF!</definedName>
    <definedName name="SG_05_10_1" localSheetId="18">#REF!</definedName>
    <definedName name="SG_05_10_1" localSheetId="20">#REF!</definedName>
    <definedName name="SG_05_10_1" localSheetId="21">#REF!</definedName>
    <definedName name="SG_05_10_1" localSheetId="7">#REF!</definedName>
    <definedName name="SG_05_10_1" localSheetId="3">#REF!</definedName>
    <definedName name="SG_05_10_1" localSheetId="11">#REF!</definedName>
    <definedName name="SG_05_10_1">[5]RESUMO!#REF!</definedName>
    <definedName name="SG_05_11" localSheetId="13">#REF!</definedName>
    <definedName name="SG_05_11" localSheetId="14">#REF!</definedName>
    <definedName name="SG_05_11" localSheetId="15">#REF!</definedName>
    <definedName name="SG_05_11" localSheetId="16">#REF!</definedName>
    <definedName name="SG_05_11" localSheetId="17">#REF!</definedName>
    <definedName name="SG_05_11" localSheetId="18">#REF!</definedName>
    <definedName name="SG_05_11" localSheetId="20">#REF!</definedName>
    <definedName name="SG_05_11" localSheetId="21">#REF!</definedName>
    <definedName name="SG_05_11" localSheetId="7">#REF!</definedName>
    <definedName name="SG_05_11" localSheetId="3">#REF!</definedName>
    <definedName name="SG_05_11" localSheetId="11">#REF!</definedName>
    <definedName name="SG_05_11">'[14]Planilha PROJETISTA'!#REF!</definedName>
    <definedName name="SG_05_11_1" localSheetId="13">#REF!</definedName>
    <definedName name="SG_05_11_1" localSheetId="14">#REF!</definedName>
    <definedName name="SG_05_11_1" localSheetId="15">#REF!</definedName>
    <definedName name="SG_05_11_1" localSheetId="16">#REF!</definedName>
    <definedName name="SG_05_11_1" localSheetId="17">#REF!</definedName>
    <definedName name="SG_05_11_1" localSheetId="18">#REF!</definedName>
    <definedName name="SG_05_11_1" localSheetId="20">#REF!</definedName>
    <definedName name="SG_05_11_1" localSheetId="21">#REF!</definedName>
    <definedName name="SG_05_11_1" localSheetId="7">#REF!</definedName>
    <definedName name="SG_05_11_1" localSheetId="3">#REF!</definedName>
    <definedName name="SG_05_11_1" localSheetId="11">#REF!</definedName>
    <definedName name="SG_05_11_1">[5]RESUMO!#REF!</definedName>
    <definedName name="SG_05_12_1" localSheetId="13">#REF!</definedName>
    <definedName name="SG_05_12_1" localSheetId="14">#REF!</definedName>
    <definedName name="SG_05_12_1" localSheetId="15">#REF!</definedName>
    <definedName name="SG_05_12_1" localSheetId="16">#REF!</definedName>
    <definedName name="SG_05_12_1" localSheetId="17">#REF!</definedName>
    <definedName name="SG_05_12_1" localSheetId="18">#REF!</definedName>
    <definedName name="SG_05_12_1" localSheetId="20">#REF!</definedName>
    <definedName name="SG_05_12_1" localSheetId="21">#REF!</definedName>
    <definedName name="SG_05_12_1" localSheetId="7">#REF!</definedName>
    <definedName name="SG_05_12_1" localSheetId="3">#REF!</definedName>
    <definedName name="SG_05_12_1" localSheetId="11">#REF!</definedName>
    <definedName name="SG_05_12_1">[5]RESUMO!#REF!</definedName>
    <definedName name="SG_05_13_1" localSheetId="13">#REF!</definedName>
    <definedName name="SG_05_13_1" localSheetId="14">#REF!</definedName>
    <definedName name="SG_05_13_1" localSheetId="15">#REF!</definedName>
    <definedName name="SG_05_13_1" localSheetId="16">#REF!</definedName>
    <definedName name="SG_05_13_1" localSheetId="17">#REF!</definedName>
    <definedName name="SG_05_13_1" localSheetId="18">#REF!</definedName>
    <definedName name="SG_05_13_1" localSheetId="20">#REF!</definedName>
    <definedName name="SG_05_13_1" localSheetId="21">#REF!</definedName>
    <definedName name="SG_05_13_1" localSheetId="7">#REF!</definedName>
    <definedName name="SG_05_13_1" localSheetId="3">#REF!</definedName>
    <definedName name="SG_05_13_1" localSheetId="11">#REF!</definedName>
    <definedName name="SG_05_13_1">[5]RESUMO!#REF!</definedName>
    <definedName name="SG_05_14" localSheetId="13">#REF!</definedName>
    <definedName name="SG_05_14" localSheetId="14">#REF!</definedName>
    <definedName name="SG_05_14" localSheetId="15">#REF!</definedName>
    <definedName name="SG_05_14" localSheetId="16">#REF!</definedName>
    <definedName name="SG_05_14" localSheetId="17">#REF!</definedName>
    <definedName name="SG_05_14" localSheetId="18">#REF!</definedName>
    <definedName name="SG_05_14" localSheetId="20">#REF!</definedName>
    <definedName name="SG_05_14" localSheetId="21">#REF!</definedName>
    <definedName name="SG_05_14" localSheetId="7">#REF!</definedName>
    <definedName name="SG_05_14" localSheetId="3">#REF!</definedName>
    <definedName name="SG_05_14" localSheetId="11">#REF!</definedName>
    <definedName name="SG_05_14">'[14]Planilha PROJETISTA'!#REF!</definedName>
    <definedName name="SG_05_14_1" localSheetId="13">#REF!</definedName>
    <definedName name="SG_05_14_1" localSheetId="14">#REF!</definedName>
    <definedName name="SG_05_14_1" localSheetId="15">#REF!</definedName>
    <definedName name="SG_05_14_1" localSheetId="16">#REF!</definedName>
    <definedName name="SG_05_14_1" localSheetId="17">#REF!</definedName>
    <definedName name="SG_05_14_1" localSheetId="18">#REF!</definedName>
    <definedName name="SG_05_14_1" localSheetId="20">#REF!</definedName>
    <definedName name="SG_05_14_1" localSheetId="21">#REF!</definedName>
    <definedName name="SG_05_14_1" localSheetId="7">#REF!</definedName>
    <definedName name="SG_05_14_1" localSheetId="3">#REF!</definedName>
    <definedName name="SG_05_14_1" localSheetId="11">#REF!</definedName>
    <definedName name="SG_05_14_1">[5]RESUMO!#REF!</definedName>
    <definedName name="SG_05_15" localSheetId="13">#REF!</definedName>
    <definedName name="SG_05_15" localSheetId="14">#REF!</definedName>
    <definedName name="SG_05_15" localSheetId="15">#REF!</definedName>
    <definedName name="SG_05_15" localSheetId="16">#REF!</definedName>
    <definedName name="SG_05_15" localSheetId="17">#REF!</definedName>
    <definedName name="SG_05_15" localSheetId="18">#REF!</definedName>
    <definedName name="SG_05_15" localSheetId="20">#REF!</definedName>
    <definedName name="SG_05_15" localSheetId="21">#REF!</definedName>
    <definedName name="SG_05_15" localSheetId="7">#REF!</definedName>
    <definedName name="SG_05_15" localSheetId="3">#REF!</definedName>
    <definedName name="SG_05_15" localSheetId="11">#REF!</definedName>
    <definedName name="SG_05_15">'[14]Planilha PROJETISTA'!#REF!</definedName>
    <definedName name="SG_05_15_1" localSheetId="13">#REF!</definedName>
    <definedName name="SG_05_15_1" localSheetId="14">#REF!</definedName>
    <definedName name="SG_05_15_1" localSheetId="15">#REF!</definedName>
    <definedName name="SG_05_15_1" localSheetId="16">#REF!</definedName>
    <definedName name="SG_05_15_1" localSheetId="17">#REF!</definedName>
    <definedName name="SG_05_15_1" localSheetId="18">#REF!</definedName>
    <definedName name="SG_05_15_1" localSheetId="20">#REF!</definedName>
    <definedName name="SG_05_15_1" localSheetId="21">#REF!</definedName>
    <definedName name="SG_05_15_1" localSheetId="7">#REF!</definedName>
    <definedName name="SG_05_15_1" localSheetId="3">#REF!</definedName>
    <definedName name="SG_05_15_1" localSheetId="11">#REF!</definedName>
    <definedName name="SG_05_15_1">[5]RESUMO!#REF!</definedName>
    <definedName name="SG_05_16" localSheetId="13">#REF!</definedName>
    <definedName name="SG_05_16" localSheetId="14">#REF!</definedName>
    <definedName name="SG_05_16" localSheetId="15">#REF!</definedName>
    <definedName name="SG_05_16" localSheetId="16">#REF!</definedName>
    <definedName name="SG_05_16" localSheetId="17">#REF!</definedName>
    <definedName name="SG_05_16" localSheetId="18">#REF!</definedName>
    <definedName name="SG_05_16" localSheetId="20">#REF!</definedName>
    <definedName name="SG_05_16" localSheetId="21">#REF!</definedName>
    <definedName name="SG_05_16" localSheetId="7">#REF!</definedName>
    <definedName name="SG_05_16" localSheetId="3">#REF!</definedName>
    <definedName name="SG_05_16" localSheetId="11">#REF!</definedName>
    <definedName name="SG_05_16">'[14]Planilha PROJETISTA'!#REF!</definedName>
    <definedName name="SG_05_16_1" localSheetId="13">#REF!</definedName>
    <definedName name="SG_05_16_1" localSheetId="14">#REF!</definedName>
    <definedName name="SG_05_16_1" localSheetId="15">#REF!</definedName>
    <definedName name="SG_05_16_1" localSheetId="16">#REF!</definedName>
    <definedName name="SG_05_16_1" localSheetId="17">#REF!</definedName>
    <definedName name="SG_05_16_1" localSheetId="18">#REF!</definedName>
    <definedName name="SG_05_16_1" localSheetId="20">#REF!</definedName>
    <definedName name="SG_05_16_1" localSheetId="21">#REF!</definedName>
    <definedName name="SG_05_16_1" localSheetId="7">#REF!</definedName>
    <definedName name="SG_05_16_1" localSheetId="3">#REF!</definedName>
    <definedName name="SG_05_16_1" localSheetId="11">#REF!</definedName>
    <definedName name="SG_05_16_1">[5]RESUMO!#REF!</definedName>
    <definedName name="SG_05_17" localSheetId="13">#REF!</definedName>
    <definedName name="SG_05_17" localSheetId="14">#REF!</definedName>
    <definedName name="SG_05_17" localSheetId="15">#REF!</definedName>
    <definedName name="SG_05_17" localSheetId="16">#REF!</definedName>
    <definedName name="SG_05_17" localSheetId="17">#REF!</definedName>
    <definedName name="SG_05_17" localSheetId="18">#REF!</definedName>
    <definedName name="SG_05_17" localSheetId="20">#REF!</definedName>
    <definedName name="SG_05_17" localSheetId="21">#REF!</definedName>
    <definedName name="SG_05_17" localSheetId="7">#REF!</definedName>
    <definedName name="SG_05_17" localSheetId="3">#REF!</definedName>
    <definedName name="SG_05_17" localSheetId="11">#REF!</definedName>
    <definedName name="SG_05_17">'[14]Planilha PROJETISTA'!#REF!</definedName>
    <definedName name="SG_05_17_1" localSheetId="13">#REF!</definedName>
    <definedName name="SG_05_17_1" localSheetId="14">#REF!</definedName>
    <definedName name="SG_05_17_1" localSheetId="15">#REF!</definedName>
    <definedName name="SG_05_17_1" localSheetId="16">#REF!</definedName>
    <definedName name="SG_05_17_1" localSheetId="17">#REF!</definedName>
    <definedName name="SG_05_17_1" localSheetId="18">#REF!</definedName>
    <definedName name="SG_05_17_1" localSheetId="20">#REF!</definedName>
    <definedName name="SG_05_17_1" localSheetId="21">#REF!</definedName>
    <definedName name="SG_05_17_1" localSheetId="7">#REF!</definedName>
    <definedName name="SG_05_17_1" localSheetId="3">#REF!</definedName>
    <definedName name="SG_05_17_1" localSheetId="11">#REF!</definedName>
    <definedName name="SG_05_17_1">[5]RESUMO!#REF!</definedName>
    <definedName name="SG_05_18" localSheetId="13">#REF!</definedName>
    <definedName name="SG_05_18" localSheetId="14">#REF!</definedName>
    <definedName name="SG_05_18" localSheetId="15">#REF!</definedName>
    <definedName name="SG_05_18" localSheetId="16">#REF!</definedName>
    <definedName name="SG_05_18" localSheetId="17">#REF!</definedName>
    <definedName name="SG_05_18" localSheetId="18">#REF!</definedName>
    <definedName name="SG_05_18" localSheetId="20">#REF!</definedName>
    <definedName name="SG_05_18" localSheetId="21">#REF!</definedName>
    <definedName name="SG_05_18" localSheetId="7">#REF!</definedName>
    <definedName name="SG_05_18" localSheetId="3">#REF!</definedName>
    <definedName name="SG_05_18" localSheetId="11">#REF!</definedName>
    <definedName name="SG_05_18">'[14]Planilha PROJETISTA'!#REF!</definedName>
    <definedName name="SG_05_18_1" localSheetId="13">#REF!</definedName>
    <definedName name="SG_05_18_1" localSheetId="14">#REF!</definedName>
    <definedName name="SG_05_18_1" localSheetId="15">#REF!</definedName>
    <definedName name="SG_05_18_1" localSheetId="16">#REF!</definedName>
    <definedName name="SG_05_18_1" localSheetId="17">#REF!</definedName>
    <definedName name="SG_05_18_1" localSheetId="18">#REF!</definedName>
    <definedName name="SG_05_18_1" localSheetId="20">#REF!</definedName>
    <definedName name="SG_05_18_1" localSheetId="21">#REF!</definedName>
    <definedName name="SG_05_18_1" localSheetId="7">#REF!</definedName>
    <definedName name="SG_05_18_1" localSheetId="3">#REF!</definedName>
    <definedName name="SG_05_18_1" localSheetId="11">#REF!</definedName>
    <definedName name="SG_05_18_1">[5]RESUMO!#REF!</definedName>
    <definedName name="SG_05_19" localSheetId="13">#REF!</definedName>
    <definedName name="SG_05_19" localSheetId="14">#REF!</definedName>
    <definedName name="SG_05_19" localSheetId="15">#REF!</definedName>
    <definedName name="SG_05_19" localSheetId="16">#REF!</definedName>
    <definedName name="SG_05_19" localSheetId="17">#REF!</definedName>
    <definedName name="SG_05_19" localSheetId="18">#REF!</definedName>
    <definedName name="SG_05_19" localSheetId="20">#REF!</definedName>
    <definedName name="SG_05_19" localSheetId="21">#REF!</definedName>
    <definedName name="SG_05_19" localSheetId="7">#REF!</definedName>
    <definedName name="SG_05_19" localSheetId="3">#REF!</definedName>
    <definedName name="SG_05_19" localSheetId="11">#REF!</definedName>
    <definedName name="SG_05_19">'[14]Planilha PROJETISTA'!#REF!</definedName>
    <definedName name="SG_05_19_1" localSheetId="13">#REF!</definedName>
    <definedName name="SG_05_19_1" localSheetId="14">#REF!</definedName>
    <definedName name="SG_05_19_1" localSheetId="15">#REF!</definedName>
    <definedName name="SG_05_19_1" localSheetId="16">#REF!</definedName>
    <definedName name="SG_05_19_1" localSheetId="17">#REF!</definedName>
    <definedName name="SG_05_19_1" localSheetId="18">#REF!</definedName>
    <definedName name="SG_05_19_1" localSheetId="20">#REF!</definedName>
    <definedName name="SG_05_19_1" localSheetId="21">#REF!</definedName>
    <definedName name="SG_05_19_1" localSheetId="7">#REF!</definedName>
    <definedName name="SG_05_19_1" localSheetId="3">#REF!</definedName>
    <definedName name="SG_05_19_1" localSheetId="11">#REF!</definedName>
    <definedName name="SG_05_19_1">[5]RESUMO!#REF!</definedName>
    <definedName name="SG_05_20" localSheetId="13">#REF!</definedName>
    <definedName name="SG_05_20" localSheetId="14">#REF!</definedName>
    <definedName name="SG_05_20" localSheetId="15">#REF!</definedName>
    <definedName name="SG_05_20" localSheetId="16">#REF!</definedName>
    <definedName name="SG_05_20" localSheetId="17">#REF!</definedName>
    <definedName name="SG_05_20" localSheetId="18">#REF!</definedName>
    <definedName name="SG_05_20" localSheetId="20">#REF!</definedName>
    <definedName name="SG_05_20" localSheetId="21">#REF!</definedName>
    <definedName name="SG_05_20" localSheetId="7">#REF!</definedName>
    <definedName name="SG_05_20" localSheetId="3">#REF!</definedName>
    <definedName name="SG_05_20" localSheetId="11">#REF!</definedName>
    <definedName name="SG_05_20">'[14]Planilha PROJETISTA'!#REF!</definedName>
    <definedName name="SG_05_20_1" localSheetId="13">#REF!</definedName>
    <definedName name="SG_05_20_1" localSheetId="14">#REF!</definedName>
    <definedName name="SG_05_20_1" localSheetId="15">#REF!</definedName>
    <definedName name="SG_05_20_1" localSheetId="16">#REF!</definedName>
    <definedName name="SG_05_20_1" localSheetId="17">#REF!</definedName>
    <definedName name="SG_05_20_1" localSheetId="18">#REF!</definedName>
    <definedName name="SG_05_20_1" localSheetId="20">#REF!</definedName>
    <definedName name="SG_05_20_1" localSheetId="21">#REF!</definedName>
    <definedName name="SG_05_20_1" localSheetId="7">#REF!</definedName>
    <definedName name="SG_05_20_1" localSheetId="3">#REF!</definedName>
    <definedName name="SG_05_20_1" localSheetId="11">#REF!</definedName>
    <definedName name="SG_05_20_1">[5]RESUMO!#REF!</definedName>
    <definedName name="SG_06_01_1" localSheetId="13">#REF!</definedName>
    <definedName name="SG_06_01_1" localSheetId="14">#REF!</definedName>
    <definedName name="SG_06_01_1" localSheetId="15">#REF!</definedName>
    <definedName name="SG_06_01_1" localSheetId="16">#REF!</definedName>
    <definedName name="SG_06_01_1" localSheetId="17">#REF!</definedName>
    <definedName name="SG_06_01_1" localSheetId="18">#REF!</definedName>
    <definedName name="SG_06_01_1" localSheetId="20">#REF!</definedName>
    <definedName name="SG_06_01_1" localSheetId="21">#REF!</definedName>
    <definedName name="SG_06_01_1" localSheetId="7">#REF!</definedName>
    <definedName name="SG_06_01_1" localSheetId="3">#REF!</definedName>
    <definedName name="SG_06_01_1" localSheetId="11">#REF!</definedName>
    <definedName name="SG_06_01_1">[5]RESUMO!#REF!</definedName>
    <definedName name="SG_06_02_1" localSheetId="13">#REF!</definedName>
    <definedName name="SG_06_02_1" localSheetId="14">#REF!</definedName>
    <definedName name="SG_06_02_1" localSheetId="15">#REF!</definedName>
    <definedName name="SG_06_02_1" localSheetId="16">#REF!</definedName>
    <definedName name="SG_06_02_1" localSheetId="17">#REF!</definedName>
    <definedName name="SG_06_02_1" localSheetId="18">#REF!</definedName>
    <definedName name="SG_06_02_1" localSheetId="20">#REF!</definedName>
    <definedName name="SG_06_02_1" localSheetId="21">#REF!</definedName>
    <definedName name="SG_06_02_1" localSheetId="7">#REF!</definedName>
    <definedName name="SG_06_02_1" localSheetId="3">#REF!</definedName>
    <definedName name="SG_06_02_1" localSheetId="11">#REF!</definedName>
    <definedName name="SG_06_02_1">[5]RESUMO!#REF!</definedName>
    <definedName name="SG_06_03_1" localSheetId="13">#REF!</definedName>
    <definedName name="SG_06_03_1" localSheetId="14">#REF!</definedName>
    <definedName name="SG_06_03_1" localSheetId="15">#REF!</definedName>
    <definedName name="SG_06_03_1" localSheetId="16">#REF!</definedName>
    <definedName name="SG_06_03_1" localSheetId="17">#REF!</definedName>
    <definedName name="SG_06_03_1" localSheetId="18">#REF!</definedName>
    <definedName name="SG_06_03_1" localSheetId="20">#REF!</definedName>
    <definedName name="SG_06_03_1" localSheetId="21">#REF!</definedName>
    <definedName name="SG_06_03_1" localSheetId="7">#REF!</definedName>
    <definedName name="SG_06_03_1" localSheetId="3">#REF!</definedName>
    <definedName name="SG_06_03_1" localSheetId="11">#REF!</definedName>
    <definedName name="SG_06_03_1">[5]RESUMO!#REF!</definedName>
    <definedName name="SG_06_04" localSheetId="13">#REF!</definedName>
    <definedName name="SG_06_04" localSheetId="14">#REF!</definedName>
    <definedName name="SG_06_04" localSheetId="15">#REF!</definedName>
    <definedName name="SG_06_04" localSheetId="16">#REF!</definedName>
    <definedName name="SG_06_04" localSheetId="17">#REF!</definedName>
    <definedName name="SG_06_04" localSheetId="18">#REF!</definedName>
    <definedName name="SG_06_04" localSheetId="20">#REF!</definedName>
    <definedName name="SG_06_04" localSheetId="21">#REF!</definedName>
    <definedName name="SG_06_04" localSheetId="7">#REF!</definedName>
    <definedName name="SG_06_04" localSheetId="3">#REF!</definedName>
    <definedName name="SG_06_04" localSheetId="11">#REF!</definedName>
    <definedName name="SG_06_04">'[14]Planilha PROJETISTA'!#REF!</definedName>
    <definedName name="SG_06_04_1" localSheetId="13">#REF!</definedName>
    <definedName name="SG_06_04_1" localSheetId="14">#REF!</definedName>
    <definedName name="SG_06_04_1" localSheetId="15">#REF!</definedName>
    <definedName name="SG_06_04_1" localSheetId="16">#REF!</definedName>
    <definedName name="SG_06_04_1" localSheetId="17">#REF!</definedName>
    <definedName name="SG_06_04_1" localSheetId="18">#REF!</definedName>
    <definedName name="SG_06_04_1" localSheetId="20">#REF!</definedName>
    <definedName name="SG_06_04_1" localSheetId="21">#REF!</definedName>
    <definedName name="SG_06_04_1" localSheetId="7">#REF!</definedName>
    <definedName name="SG_06_04_1" localSheetId="3">#REF!</definedName>
    <definedName name="SG_06_04_1" localSheetId="11">#REF!</definedName>
    <definedName name="SG_06_04_1">[5]RESUMO!#REF!</definedName>
    <definedName name="SG_06_05" localSheetId="13">#REF!</definedName>
    <definedName name="SG_06_05" localSheetId="14">#REF!</definedName>
    <definedName name="SG_06_05" localSheetId="15">#REF!</definedName>
    <definedName name="SG_06_05" localSheetId="16">#REF!</definedName>
    <definedName name="SG_06_05" localSheetId="17">#REF!</definedName>
    <definedName name="SG_06_05" localSheetId="18">#REF!</definedName>
    <definedName name="SG_06_05" localSheetId="20">#REF!</definedName>
    <definedName name="SG_06_05" localSheetId="21">#REF!</definedName>
    <definedName name="SG_06_05" localSheetId="7">#REF!</definedName>
    <definedName name="SG_06_05" localSheetId="3">#REF!</definedName>
    <definedName name="SG_06_05" localSheetId="11">#REF!</definedName>
    <definedName name="SG_06_05">'[14]Planilha PROJETISTA'!#REF!</definedName>
    <definedName name="SG_06_05_1" localSheetId="13">#REF!</definedName>
    <definedName name="SG_06_05_1" localSheetId="14">#REF!</definedName>
    <definedName name="SG_06_05_1" localSheetId="15">#REF!</definedName>
    <definedName name="SG_06_05_1" localSheetId="16">#REF!</definedName>
    <definedName name="SG_06_05_1" localSheetId="17">#REF!</definedName>
    <definedName name="SG_06_05_1" localSheetId="18">#REF!</definedName>
    <definedName name="SG_06_05_1" localSheetId="20">#REF!</definedName>
    <definedName name="SG_06_05_1" localSheetId="21">#REF!</definedName>
    <definedName name="SG_06_05_1" localSheetId="7">#REF!</definedName>
    <definedName name="SG_06_05_1" localSheetId="3">#REF!</definedName>
    <definedName name="SG_06_05_1" localSheetId="11">#REF!</definedName>
    <definedName name="SG_06_05_1">[5]RESUMO!#REF!</definedName>
    <definedName name="SG_06_06" localSheetId="13">#REF!</definedName>
    <definedName name="SG_06_06" localSheetId="14">#REF!</definedName>
    <definedName name="SG_06_06" localSheetId="15">#REF!</definedName>
    <definedName name="SG_06_06" localSheetId="16">#REF!</definedName>
    <definedName name="SG_06_06" localSheetId="17">#REF!</definedName>
    <definedName name="SG_06_06" localSheetId="18">#REF!</definedName>
    <definedName name="SG_06_06" localSheetId="20">#REF!</definedName>
    <definedName name="SG_06_06" localSheetId="21">#REF!</definedName>
    <definedName name="SG_06_06" localSheetId="7">#REF!</definedName>
    <definedName name="SG_06_06" localSheetId="3">#REF!</definedName>
    <definedName name="SG_06_06" localSheetId="11">#REF!</definedName>
    <definedName name="SG_06_06">'[14]Planilha PROJETISTA'!#REF!</definedName>
    <definedName name="SG_06_06_1" localSheetId="13">#REF!</definedName>
    <definedName name="SG_06_06_1" localSheetId="14">#REF!</definedName>
    <definedName name="SG_06_06_1" localSheetId="15">#REF!</definedName>
    <definedName name="SG_06_06_1" localSheetId="16">#REF!</definedName>
    <definedName name="SG_06_06_1" localSheetId="17">#REF!</definedName>
    <definedName name="SG_06_06_1" localSheetId="18">#REF!</definedName>
    <definedName name="SG_06_06_1" localSheetId="20">#REF!</definedName>
    <definedName name="SG_06_06_1" localSheetId="21">#REF!</definedName>
    <definedName name="SG_06_06_1" localSheetId="7">#REF!</definedName>
    <definedName name="SG_06_06_1" localSheetId="3">#REF!</definedName>
    <definedName name="SG_06_06_1" localSheetId="11">#REF!</definedName>
    <definedName name="SG_06_06_1">[5]RESUMO!#REF!</definedName>
    <definedName name="SG_06_07" localSheetId="13">#REF!</definedName>
    <definedName name="SG_06_07" localSheetId="14">#REF!</definedName>
    <definedName name="SG_06_07" localSheetId="15">#REF!</definedName>
    <definedName name="SG_06_07" localSheetId="16">#REF!</definedName>
    <definedName name="SG_06_07" localSheetId="17">#REF!</definedName>
    <definedName name="SG_06_07" localSheetId="18">#REF!</definedName>
    <definedName name="SG_06_07" localSheetId="20">#REF!</definedName>
    <definedName name="SG_06_07" localSheetId="21">#REF!</definedName>
    <definedName name="SG_06_07" localSheetId="7">#REF!</definedName>
    <definedName name="SG_06_07" localSheetId="3">#REF!</definedName>
    <definedName name="SG_06_07" localSheetId="11">#REF!</definedName>
    <definedName name="SG_06_07">'[14]Planilha PROJETISTA'!#REF!</definedName>
    <definedName name="SG_06_07_1" localSheetId="13">#REF!</definedName>
    <definedName name="SG_06_07_1" localSheetId="14">#REF!</definedName>
    <definedName name="SG_06_07_1" localSheetId="15">#REF!</definedName>
    <definedName name="SG_06_07_1" localSheetId="16">#REF!</definedName>
    <definedName name="SG_06_07_1" localSheetId="17">#REF!</definedName>
    <definedName name="SG_06_07_1" localSheetId="18">#REF!</definedName>
    <definedName name="SG_06_07_1" localSheetId="20">#REF!</definedName>
    <definedName name="SG_06_07_1" localSheetId="21">#REF!</definedName>
    <definedName name="SG_06_07_1" localSheetId="7">#REF!</definedName>
    <definedName name="SG_06_07_1" localSheetId="3">#REF!</definedName>
    <definedName name="SG_06_07_1" localSheetId="11">#REF!</definedName>
    <definedName name="SG_06_07_1">[5]RESUMO!#REF!</definedName>
    <definedName name="SG_06_08" localSheetId="13">#REF!</definedName>
    <definedName name="SG_06_08" localSheetId="14">#REF!</definedName>
    <definedName name="SG_06_08" localSheetId="15">#REF!</definedName>
    <definedName name="SG_06_08" localSheetId="16">#REF!</definedName>
    <definedName name="SG_06_08" localSheetId="17">#REF!</definedName>
    <definedName name="SG_06_08" localSheetId="18">#REF!</definedName>
    <definedName name="SG_06_08" localSheetId="20">#REF!</definedName>
    <definedName name="SG_06_08" localSheetId="21">#REF!</definedName>
    <definedName name="SG_06_08" localSheetId="7">#REF!</definedName>
    <definedName name="SG_06_08" localSheetId="3">#REF!</definedName>
    <definedName name="SG_06_08" localSheetId="11">#REF!</definedName>
    <definedName name="SG_06_08">'[14]Planilha PROJETISTA'!#REF!</definedName>
    <definedName name="SG_06_08_1" localSheetId="13">#REF!</definedName>
    <definedName name="SG_06_08_1" localSheetId="14">#REF!</definedName>
    <definedName name="SG_06_08_1" localSheetId="15">#REF!</definedName>
    <definedName name="SG_06_08_1" localSheetId="16">#REF!</definedName>
    <definedName name="SG_06_08_1" localSheetId="17">#REF!</definedName>
    <definedName name="SG_06_08_1" localSheetId="18">#REF!</definedName>
    <definedName name="SG_06_08_1" localSheetId="20">#REF!</definedName>
    <definedName name="SG_06_08_1" localSheetId="21">#REF!</definedName>
    <definedName name="SG_06_08_1" localSheetId="7">#REF!</definedName>
    <definedName name="SG_06_08_1" localSheetId="3">#REF!</definedName>
    <definedName name="SG_06_08_1" localSheetId="11">#REF!</definedName>
    <definedName name="SG_06_08_1">[5]RESUMO!#REF!</definedName>
    <definedName name="SG_06_09" localSheetId="13">#REF!</definedName>
    <definedName name="SG_06_09" localSheetId="14">#REF!</definedName>
    <definedName name="SG_06_09" localSheetId="15">#REF!</definedName>
    <definedName name="SG_06_09" localSheetId="16">#REF!</definedName>
    <definedName name="SG_06_09" localSheetId="17">#REF!</definedName>
    <definedName name="SG_06_09" localSheetId="18">#REF!</definedName>
    <definedName name="SG_06_09" localSheetId="20">#REF!</definedName>
    <definedName name="SG_06_09" localSheetId="21">#REF!</definedName>
    <definedName name="SG_06_09" localSheetId="7">#REF!</definedName>
    <definedName name="SG_06_09" localSheetId="3">#REF!</definedName>
    <definedName name="SG_06_09" localSheetId="11">#REF!</definedName>
    <definedName name="SG_06_09">'[14]Planilha PROJETISTA'!#REF!</definedName>
    <definedName name="SG_06_09_1" localSheetId="13">#REF!</definedName>
    <definedName name="SG_06_09_1" localSheetId="14">#REF!</definedName>
    <definedName name="SG_06_09_1" localSheetId="15">#REF!</definedName>
    <definedName name="SG_06_09_1" localSheetId="16">#REF!</definedName>
    <definedName name="SG_06_09_1" localSheetId="17">#REF!</definedName>
    <definedName name="SG_06_09_1" localSheetId="18">#REF!</definedName>
    <definedName name="SG_06_09_1" localSheetId="20">#REF!</definedName>
    <definedName name="SG_06_09_1" localSheetId="21">#REF!</definedName>
    <definedName name="SG_06_09_1" localSheetId="7">#REF!</definedName>
    <definedName name="SG_06_09_1" localSheetId="3">#REF!</definedName>
    <definedName name="SG_06_09_1" localSheetId="11">#REF!</definedName>
    <definedName name="SG_06_09_1">[5]RESUMO!#REF!</definedName>
    <definedName name="SG_06_10" localSheetId="13">#REF!</definedName>
    <definedName name="SG_06_10" localSheetId="14">#REF!</definedName>
    <definedName name="SG_06_10" localSheetId="15">#REF!</definedName>
    <definedName name="SG_06_10" localSheetId="16">#REF!</definedName>
    <definedName name="SG_06_10" localSheetId="17">#REF!</definedName>
    <definedName name="SG_06_10" localSheetId="18">#REF!</definedName>
    <definedName name="SG_06_10" localSheetId="20">#REF!</definedName>
    <definedName name="SG_06_10" localSheetId="21">#REF!</definedName>
    <definedName name="SG_06_10" localSheetId="7">#REF!</definedName>
    <definedName name="SG_06_10" localSheetId="3">#REF!</definedName>
    <definedName name="SG_06_10" localSheetId="11">#REF!</definedName>
    <definedName name="SG_06_10">'[14]Planilha PROJETISTA'!#REF!</definedName>
    <definedName name="SG_06_10_1" localSheetId="13">#REF!</definedName>
    <definedName name="SG_06_10_1" localSheetId="14">#REF!</definedName>
    <definedName name="SG_06_10_1" localSheetId="15">#REF!</definedName>
    <definedName name="SG_06_10_1" localSheetId="16">#REF!</definedName>
    <definedName name="SG_06_10_1" localSheetId="17">#REF!</definedName>
    <definedName name="SG_06_10_1" localSheetId="18">#REF!</definedName>
    <definedName name="SG_06_10_1" localSheetId="20">#REF!</definedName>
    <definedName name="SG_06_10_1" localSheetId="21">#REF!</definedName>
    <definedName name="SG_06_10_1" localSheetId="7">#REF!</definedName>
    <definedName name="SG_06_10_1" localSheetId="3">#REF!</definedName>
    <definedName name="SG_06_10_1" localSheetId="11">#REF!</definedName>
    <definedName name="SG_06_10_1">[5]RESUMO!#REF!</definedName>
    <definedName name="SG_06_11" localSheetId="13">#REF!</definedName>
    <definedName name="SG_06_11" localSheetId="14">#REF!</definedName>
    <definedName name="SG_06_11" localSheetId="15">#REF!</definedName>
    <definedName name="SG_06_11" localSheetId="16">#REF!</definedName>
    <definedName name="SG_06_11" localSheetId="17">#REF!</definedName>
    <definedName name="SG_06_11" localSheetId="18">#REF!</definedName>
    <definedName name="SG_06_11" localSheetId="20">#REF!</definedName>
    <definedName name="SG_06_11" localSheetId="21">#REF!</definedName>
    <definedName name="SG_06_11" localSheetId="7">#REF!</definedName>
    <definedName name="SG_06_11" localSheetId="3">#REF!</definedName>
    <definedName name="SG_06_11" localSheetId="11">#REF!</definedName>
    <definedName name="SG_06_11">'[14]Planilha PROJETISTA'!#REF!</definedName>
    <definedName name="SG_06_11_1" localSheetId="13">#REF!</definedName>
    <definedName name="SG_06_11_1" localSheetId="14">#REF!</definedName>
    <definedName name="SG_06_11_1" localSheetId="15">#REF!</definedName>
    <definedName name="SG_06_11_1" localSheetId="16">#REF!</definedName>
    <definedName name="SG_06_11_1" localSheetId="17">#REF!</definedName>
    <definedName name="SG_06_11_1" localSheetId="18">#REF!</definedName>
    <definedName name="SG_06_11_1" localSheetId="20">#REF!</definedName>
    <definedName name="SG_06_11_1" localSheetId="21">#REF!</definedName>
    <definedName name="SG_06_11_1" localSheetId="7">#REF!</definedName>
    <definedName name="SG_06_11_1" localSheetId="3">#REF!</definedName>
    <definedName name="SG_06_11_1" localSheetId="11">#REF!</definedName>
    <definedName name="SG_06_11_1">[5]RESUMO!#REF!</definedName>
    <definedName name="SG_06_12" localSheetId="13">#REF!</definedName>
    <definedName name="SG_06_12" localSheetId="14">#REF!</definedName>
    <definedName name="SG_06_12" localSheetId="15">#REF!</definedName>
    <definedName name="SG_06_12" localSheetId="16">#REF!</definedName>
    <definedName name="SG_06_12" localSheetId="17">#REF!</definedName>
    <definedName name="SG_06_12" localSheetId="18">#REF!</definedName>
    <definedName name="SG_06_12" localSheetId="20">#REF!</definedName>
    <definedName name="SG_06_12" localSheetId="21">#REF!</definedName>
    <definedName name="SG_06_12" localSheetId="7">#REF!</definedName>
    <definedName name="SG_06_12" localSheetId="3">#REF!</definedName>
    <definedName name="SG_06_12" localSheetId="11">#REF!</definedName>
    <definedName name="SG_06_12">'[14]Planilha PROJETISTA'!#REF!</definedName>
    <definedName name="SG_06_12_1" localSheetId="13">#REF!</definedName>
    <definedName name="SG_06_12_1" localSheetId="14">#REF!</definedName>
    <definedName name="SG_06_12_1" localSheetId="15">#REF!</definedName>
    <definedName name="SG_06_12_1" localSheetId="16">#REF!</definedName>
    <definedName name="SG_06_12_1" localSheetId="17">#REF!</definedName>
    <definedName name="SG_06_12_1" localSheetId="18">#REF!</definedName>
    <definedName name="SG_06_12_1" localSheetId="20">#REF!</definedName>
    <definedName name="SG_06_12_1" localSheetId="21">#REF!</definedName>
    <definedName name="SG_06_12_1" localSheetId="7">#REF!</definedName>
    <definedName name="SG_06_12_1" localSheetId="3">#REF!</definedName>
    <definedName name="SG_06_12_1" localSheetId="11">#REF!</definedName>
    <definedName name="SG_06_12_1">[5]RESUMO!#REF!</definedName>
    <definedName name="SG_06_13" localSheetId="13">#REF!</definedName>
    <definedName name="SG_06_13" localSheetId="14">#REF!</definedName>
    <definedName name="SG_06_13" localSheetId="15">#REF!</definedName>
    <definedName name="SG_06_13" localSheetId="16">#REF!</definedName>
    <definedName name="SG_06_13" localSheetId="17">#REF!</definedName>
    <definedName name="SG_06_13" localSheetId="18">#REF!</definedName>
    <definedName name="SG_06_13" localSheetId="20">#REF!</definedName>
    <definedName name="SG_06_13" localSheetId="21">#REF!</definedName>
    <definedName name="SG_06_13" localSheetId="7">#REF!</definedName>
    <definedName name="SG_06_13" localSheetId="3">#REF!</definedName>
    <definedName name="SG_06_13" localSheetId="11">#REF!</definedName>
    <definedName name="SG_06_13">'[14]Planilha PROJETISTA'!#REF!</definedName>
    <definedName name="SG_06_13_1" localSheetId="13">#REF!</definedName>
    <definedName name="SG_06_13_1" localSheetId="14">#REF!</definedName>
    <definedName name="SG_06_13_1" localSheetId="15">#REF!</definedName>
    <definedName name="SG_06_13_1" localSheetId="16">#REF!</definedName>
    <definedName name="SG_06_13_1" localSheetId="17">#REF!</definedName>
    <definedName name="SG_06_13_1" localSheetId="18">#REF!</definedName>
    <definedName name="SG_06_13_1" localSheetId="20">#REF!</definedName>
    <definedName name="SG_06_13_1" localSheetId="21">#REF!</definedName>
    <definedName name="SG_06_13_1" localSheetId="7">#REF!</definedName>
    <definedName name="SG_06_13_1" localSheetId="3">#REF!</definedName>
    <definedName name="SG_06_13_1" localSheetId="11">#REF!</definedName>
    <definedName name="SG_06_13_1">[5]RESUMO!#REF!</definedName>
    <definedName name="SG_06_14" localSheetId="13">#REF!</definedName>
    <definedName name="SG_06_14" localSheetId="14">#REF!</definedName>
    <definedName name="SG_06_14" localSheetId="15">#REF!</definedName>
    <definedName name="SG_06_14" localSheetId="16">#REF!</definedName>
    <definedName name="SG_06_14" localSheetId="17">#REF!</definedName>
    <definedName name="SG_06_14" localSheetId="18">#REF!</definedName>
    <definedName name="SG_06_14" localSheetId="20">#REF!</definedName>
    <definedName name="SG_06_14" localSheetId="21">#REF!</definedName>
    <definedName name="SG_06_14" localSheetId="7">#REF!</definedName>
    <definedName name="SG_06_14" localSheetId="3">#REF!</definedName>
    <definedName name="SG_06_14" localSheetId="11">#REF!</definedName>
    <definedName name="SG_06_14">'[14]Planilha PROJETISTA'!#REF!</definedName>
    <definedName name="SG_06_14_1" localSheetId="13">#REF!</definedName>
    <definedName name="SG_06_14_1" localSheetId="14">#REF!</definedName>
    <definedName name="SG_06_14_1" localSheetId="15">#REF!</definedName>
    <definedName name="SG_06_14_1" localSheetId="16">#REF!</definedName>
    <definedName name="SG_06_14_1" localSheetId="17">#REF!</definedName>
    <definedName name="SG_06_14_1" localSheetId="18">#REF!</definedName>
    <definedName name="SG_06_14_1" localSheetId="20">#REF!</definedName>
    <definedName name="SG_06_14_1" localSheetId="21">#REF!</definedName>
    <definedName name="SG_06_14_1" localSheetId="7">#REF!</definedName>
    <definedName name="SG_06_14_1" localSheetId="3">#REF!</definedName>
    <definedName name="SG_06_14_1" localSheetId="11">#REF!</definedName>
    <definedName name="SG_06_14_1">[5]RESUMO!#REF!</definedName>
    <definedName name="SG_06_15" localSheetId="13">#REF!</definedName>
    <definedName name="SG_06_15" localSheetId="14">#REF!</definedName>
    <definedName name="SG_06_15" localSheetId="15">#REF!</definedName>
    <definedName name="SG_06_15" localSheetId="16">#REF!</definedName>
    <definedName name="SG_06_15" localSheetId="17">#REF!</definedName>
    <definedName name="SG_06_15" localSheetId="18">#REF!</definedName>
    <definedName name="SG_06_15" localSheetId="20">#REF!</definedName>
    <definedName name="SG_06_15" localSheetId="21">#REF!</definedName>
    <definedName name="SG_06_15" localSheetId="7">#REF!</definedName>
    <definedName name="SG_06_15" localSheetId="3">#REF!</definedName>
    <definedName name="SG_06_15" localSheetId="11">#REF!</definedName>
    <definedName name="SG_06_15">'[14]Planilha PROJETISTA'!#REF!</definedName>
    <definedName name="SG_06_15_1" localSheetId="13">#REF!</definedName>
    <definedName name="SG_06_15_1" localSheetId="14">#REF!</definedName>
    <definedName name="SG_06_15_1" localSheetId="15">#REF!</definedName>
    <definedName name="SG_06_15_1" localSheetId="16">#REF!</definedName>
    <definedName name="SG_06_15_1" localSheetId="17">#REF!</definedName>
    <definedName name="SG_06_15_1" localSheetId="18">#REF!</definedName>
    <definedName name="SG_06_15_1" localSheetId="20">#REF!</definedName>
    <definedName name="SG_06_15_1" localSheetId="21">#REF!</definedName>
    <definedName name="SG_06_15_1" localSheetId="7">#REF!</definedName>
    <definedName name="SG_06_15_1" localSheetId="3">#REF!</definedName>
    <definedName name="SG_06_15_1" localSheetId="11">#REF!</definedName>
    <definedName name="SG_06_15_1">[5]RESUMO!#REF!</definedName>
    <definedName name="SG_06_16" localSheetId="13">#REF!</definedName>
    <definedName name="SG_06_16" localSheetId="14">#REF!</definedName>
    <definedName name="SG_06_16" localSheetId="15">#REF!</definedName>
    <definedName name="SG_06_16" localSheetId="16">#REF!</definedName>
    <definedName name="SG_06_16" localSheetId="17">#REF!</definedName>
    <definedName name="SG_06_16" localSheetId="18">#REF!</definedName>
    <definedName name="SG_06_16" localSheetId="20">#REF!</definedName>
    <definedName name="SG_06_16" localSheetId="21">#REF!</definedName>
    <definedName name="SG_06_16" localSheetId="7">#REF!</definedName>
    <definedName name="SG_06_16" localSheetId="3">#REF!</definedName>
    <definedName name="SG_06_16" localSheetId="11">#REF!</definedName>
    <definedName name="SG_06_16">'[14]Planilha PROJETISTA'!#REF!</definedName>
    <definedName name="SG_06_16_1" localSheetId="13">#REF!</definedName>
    <definedName name="SG_06_16_1" localSheetId="14">#REF!</definedName>
    <definedName name="SG_06_16_1" localSheetId="15">#REF!</definedName>
    <definedName name="SG_06_16_1" localSheetId="16">#REF!</definedName>
    <definedName name="SG_06_16_1" localSheetId="17">#REF!</definedName>
    <definedName name="SG_06_16_1" localSheetId="18">#REF!</definedName>
    <definedName name="SG_06_16_1" localSheetId="20">#REF!</definedName>
    <definedName name="SG_06_16_1" localSheetId="21">#REF!</definedName>
    <definedName name="SG_06_16_1" localSheetId="7">#REF!</definedName>
    <definedName name="SG_06_16_1" localSheetId="3">#REF!</definedName>
    <definedName name="SG_06_16_1" localSheetId="11">#REF!</definedName>
    <definedName name="SG_06_16_1">[5]RESUMO!#REF!</definedName>
    <definedName name="SG_06_17" localSheetId="13">#REF!</definedName>
    <definedName name="SG_06_17" localSheetId="14">#REF!</definedName>
    <definedName name="SG_06_17" localSheetId="15">#REF!</definedName>
    <definedName name="SG_06_17" localSheetId="16">#REF!</definedName>
    <definedName name="SG_06_17" localSheetId="17">#REF!</definedName>
    <definedName name="SG_06_17" localSheetId="18">#REF!</definedName>
    <definedName name="SG_06_17" localSheetId="20">#REF!</definedName>
    <definedName name="SG_06_17" localSheetId="21">#REF!</definedName>
    <definedName name="SG_06_17" localSheetId="7">#REF!</definedName>
    <definedName name="SG_06_17" localSheetId="3">#REF!</definedName>
    <definedName name="SG_06_17" localSheetId="11">#REF!</definedName>
    <definedName name="SG_06_17">'[14]Planilha PROJETISTA'!#REF!</definedName>
    <definedName name="SG_06_17_1" localSheetId="13">#REF!</definedName>
    <definedName name="SG_06_17_1" localSheetId="14">#REF!</definedName>
    <definedName name="SG_06_17_1" localSheetId="15">#REF!</definedName>
    <definedName name="SG_06_17_1" localSheetId="16">#REF!</definedName>
    <definedName name="SG_06_17_1" localSheetId="17">#REF!</definedName>
    <definedName name="SG_06_17_1" localSheetId="18">#REF!</definedName>
    <definedName name="SG_06_17_1" localSheetId="20">#REF!</definedName>
    <definedName name="SG_06_17_1" localSheetId="21">#REF!</definedName>
    <definedName name="SG_06_17_1" localSheetId="7">#REF!</definedName>
    <definedName name="SG_06_17_1" localSheetId="3">#REF!</definedName>
    <definedName name="SG_06_17_1" localSheetId="11">#REF!</definedName>
    <definedName name="SG_06_17_1">[5]RESUMO!#REF!</definedName>
    <definedName name="SG_06_18" localSheetId="13">#REF!</definedName>
    <definedName name="SG_06_18" localSheetId="14">#REF!</definedName>
    <definedName name="SG_06_18" localSheetId="15">#REF!</definedName>
    <definedName name="SG_06_18" localSheetId="16">#REF!</definedName>
    <definedName name="SG_06_18" localSheetId="17">#REF!</definedName>
    <definedName name="SG_06_18" localSheetId="18">#REF!</definedName>
    <definedName name="SG_06_18" localSheetId="20">#REF!</definedName>
    <definedName name="SG_06_18" localSheetId="21">#REF!</definedName>
    <definedName name="SG_06_18" localSheetId="7">#REF!</definedName>
    <definedName name="SG_06_18" localSheetId="3">#REF!</definedName>
    <definedName name="SG_06_18" localSheetId="11">#REF!</definedName>
    <definedName name="SG_06_18">'[14]Planilha PROJETISTA'!#REF!</definedName>
    <definedName name="SG_06_18_1" localSheetId="13">#REF!</definedName>
    <definedName name="SG_06_18_1" localSheetId="14">#REF!</definedName>
    <definedName name="SG_06_18_1" localSheetId="15">#REF!</definedName>
    <definedName name="SG_06_18_1" localSheetId="16">#REF!</definedName>
    <definedName name="SG_06_18_1" localSheetId="17">#REF!</definedName>
    <definedName name="SG_06_18_1" localSheetId="18">#REF!</definedName>
    <definedName name="SG_06_18_1" localSheetId="20">#REF!</definedName>
    <definedName name="SG_06_18_1" localSheetId="21">#REF!</definedName>
    <definedName name="SG_06_18_1" localSheetId="7">#REF!</definedName>
    <definedName name="SG_06_18_1" localSheetId="3">#REF!</definedName>
    <definedName name="SG_06_18_1" localSheetId="11">#REF!</definedName>
    <definedName name="SG_06_18_1">[5]RESUMO!#REF!</definedName>
    <definedName name="SG_06_19" localSheetId="13">#REF!</definedName>
    <definedName name="SG_06_19" localSheetId="14">#REF!</definedName>
    <definedName name="SG_06_19" localSheetId="15">#REF!</definedName>
    <definedName name="SG_06_19" localSheetId="16">#REF!</definedName>
    <definedName name="SG_06_19" localSheetId="17">#REF!</definedName>
    <definedName name="SG_06_19" localSheetId="18">#REF!</definedName>
    <definedName name="SG_06_19" localSheetId="20">#REF!</definedName>
    <definedName name="SG_06_19" localSheetId="21">#REF!</definedName>
    <definedName name="SG_06_19" localSheetId="7">#REF!</definedName>
    <definedName name="SG_06_19" localSheetId="3">#REF!</definedName>
    <definedName name="SG_06_19" localSheetId="11">#REF!</definedName>
    <definedName name="SG_06_19">'[14]Planilha PROJETISTA'!#REF!</definedName>
    <definedName name="SG_06_19_1" localSheetId="13">#REF!</definedName>
    <definedName name="SG_06_19_1" localSheetId="14">#REF!</definedName>
    <definedName name="SG_06_19_1" localSheetId="15">#REF!</definedName>
    <definedName name="SG_06_19_1" localSheetId="16">#REF!</definedName>
    <definedName name="SG_06_19_1" localSheetId="17">#REF!</definedName>
    <definedName name="SG_06_19_1" localSheetId="18">#REF!</definedName>
    <definedName name="SG_06_19_1" localSheetId="20">#REF!</definedName>
    <definedName name="SG_06_19_1" localSheetId="21">#REF!</definedName>
    <definedName name="SG_06_19_1" localSheetId="7">#REF!</definedName>
    <definedName name="SG_06_19_1" localSheetId="3">#REF!</definedName>
    <definedName name="SG_06_19_1" localSheetId="11">#REF!</definedName>
    <definedName name="SG_06_19_1">[5]RESUMO!#REF!</definedName>
    <definedName name="SG_06_20" localSheetId="13">#REF!</definedName>
    <definedName name="SG_06_20" localSheetId="14">#REF!</definedName>
    <definedName name="SG_06_20" localSheetId="15">#REF!</definedName>
    <definedName name="SG_06_20" localSheetId="16">#REF!</definedName>
    <definedName name="SG_06_20" localSheetId="17">#REF!</definedName>
    <definedName name="SG_06_20" localSheetId="18">#REF!</definedName>
    <definedName name="SG_06_20" localSheetId="20">#REF!</definedName>
    <definedName name="SG_06_20" localSheetId="21">#REF!</definedName>
    <definedName name="SG_06_20" localSheetId="7">#REF!</definedName>
    <definedName name="SG_06_20" localSheetId="3">#REF!</definedName>
    <definedName name="SG_06_20" localSheetId="11">#REF!</definedName>
    <definedName name="SG_06_20">'[14]Planilha PROJETISTA'!#REF!</definedName>
    <definedName name="SG_06_20_1" localSheetId="13">#REF!</definedName>
    <definedName name="SG_06_20_1" localSheetId="14">#REF!</definedName>
    <definedName name="SG_06_20_1" localSheetId="15">#REF!</definedName>
    <definedName name="SG_06_20_1" localSheetId="16">#REF!</definedName>
    <definedName name="SG_06_20_1" localSheetId="17">#REF!</definedName>
    <definedName name="SG_06_20_1" localSheetId="18">#REF!</definedName>
    <definedName name="SG_06_20_1" localSheetId="20">#REF!</definedName>
    <definedName name="SG_06_20_1" localSheetId="21">#REF!</definedName>
    <definedName name="SG_06_20_1" localSheetId="7">#REF!</definedName>
    <definedName name="SG_06_20_1" localSheetId="3">#REF!</definedName>
    <definedName name="SG_06_20_1" localSheetId="11">#REF!</definedName>
    <definedName name="SG_06_20_1">[5]RESUMO!#REF!</definedName>
    <definedName name="SG_07_01_1" localSheetId="13">#REF!</definedName>
    <definedName name="SG_07_01_1" localSheetId="14">#REF!</definedName>
    <definedName name="SG_07_01_1" localSheetId="15">#REF!</definedName>
    <definedName name="SG_07_01_1" localSheetId="16">#REF!</definedName>
    <definedName name="SG_07_01_1" localSheetId="17">#REF!</definedName>
    <definedName name="SG_07_01_1" localSheetId="18">#REF!</definedName>
    <definedName name="SG_07_01_1" localSheetId="20">#REF!</definedName>
    <definedName name="SG_07_01_1" localSheetId="21">#REF!</definedName>
    <definedName name="SG_07_01_1" localSheetId="7">#REF!</definedName>
    <definedName name="SG_07_01_1" localSheetId="3">#REF!</definedName>
    <definedName name="SG_07_01_1" localSheetId="11">#REF!</definedName>
    <definedName name="SG_07_01_1">[5]RESUMO!#REF!</definedName>
    <definedName name="SG_07_02" localSheetId="13">#REF!</definedName>
    <definedName name="SG_07_02" localSheetId="14">#REF!</definedName>
    <definedName name="SG_07_02" localSheetId="15">#REF!</definedName>
    <definedName name="SG_07_02" localSheetId="16">#REF!</definedName>
    <definedName name="SG_07_02" localSheetId="17">#REF!</definedName>
    <definedName name="SG_07_02" localSheetId="18">#REF!</definedName>
    <definedName name="SG_07_02" localSheetId="20">#REF!</definedName>
    <definedName name="SG_07_02" localSheetId="21">#REF!</definedName>
    <definedName name="SG_07_02" localSheetId="7">#REF!</definedName>
    <definedName name="SG_07_02" localSheetId="3">#REF!</definedName>
    <definedName name="SG_07_02" localSheetId="11">#REF!</definedName>
    <definedName name="SG_07_02">'[14]Planilha PROJETISTA'!#REF!</definedName>
    <definedName name="SG_07_02_1" localSheetId="13">#REF!</definedName>
    <definedName name="SG_07_02_1" localSheetId="14">#REF!</definedName>
    <definedName name="SG_07_02_1" localSheetId="15">#REF!</definedName>
    <definedName name="SG_07_02_1" localSheetId="16">#REF!</definedName>
    <definedName name="SG_07_02_1" localSheetId="17">#REF!</definedName>
    <definedName name="SG_07_02_1" localSheetId="18">#REF!</definedName>
    <definedName name="SG_07_02_1" localSheetId="20">#REF!</definedName>
    <definedName name="SG_07_02_1" localSheetId="21">#REF!</definedName>
    <definedName name="SG_07_02_1" localSheetId="7">#REF!</definedName>
    <definedName name="SG_07_02_1" localSheetId="3">#REF!</definedName>
    <definedName name="SG_07_02_1" localSheetId="11">#REF!</definedName>
    <definedName name="SG_07_02_1">[5]RESUMO!#REF!</definedName>
    <definedName name="SG_07_03" localSheetId="13">#REF!</definedName>
    <definedName name="SG_07_03" localSheetId="14">#REF!</definedName>
    <definedName name="SG_07_03" localSheetId="15">#REF!</definedName>
    <definedName name="SG_07_03" localSheetId="16">#REF!</definedName>
    <definedName name="SG_07_03" localSheetId="17">#REF!</definedName>
    <definedName name="SG_07_03" localSheetId="18">#REF!</definedName>
    <definedName name="SG_07_03" localSheetId="20">#REF!</definedName>
    <definedName name="SG_07_03" localSheetId="21">#REF!</definedName>
    <definedName name="SG_07_03" localSheetId="7">#REF!</definedName>
    <definedName name="SG_07_03" localSheetId="3">#REF!</definedName>
    <definedName name="SG_07_03" localSheetId="11">#REF!</definedName>
    <definedName name="SG_07_03">'[14]Planilha PROJETISTA'!#REF!</definedName>
    <definedName name="SG_07_03_1" localSheetId="13">#REF!</definedName>
    <definedName name="SG_07_03_1" localSheetId="14">#REF!</definedName>
    <definedName name="SG_07_03_1" localSheetId="15">#REF!</definedName>
    <definedName name="SG_07_03_1" localSheetId="16">#REF!</definedName>
    <definedName name="SG_07_03_1" localSheetId="17">#REF!</definedName>
    <definedName name="SG_07_03_1" localSheetId="18">#REF!</definedName>
    <definedName name="SG_07_03_1" localSheetId="20">#REF!</definedName>
    <definedName name="SG_07_03_1" localSheetId="21">#REF!</definedName>
    <definedName name="SG_07_03_1" localSheetId="7">#REF!</definedName>
    <definedName name="SG_07_03_1" localSheetId="3">#REF!</definedName>
    <definedName name="SG_07_03_1" localSheetId="11">#REF!</definedName>
    <definedName name="SG_07_03_1">[5]RESUMO!#REF!</definedName>
    <definedName name="SG_07_04" localSheetId="13">#REF!</definedName>
    <definedName name="SG_07_04" localSheetId="14">#REF!</definedName>
    <definedName name="SG_07_04" localSheetId="15">#REF!</definedName>
    <definedName name="SG_07_04" localSheetId="16">#REF!</definedName>
    <definedName name="SG_07_04" localSheetId="17">#REF!</definedName>
    <definedName name="SG_07_04" localSheetId="18">#REF!</definedName>
    <definedName name="SG_07_04" localSheetId="20">#REF!</definedName>
    <definedName name="SG_07_04" localSheetId="21">#REF!</definedName>
    <definedName name="SG_07_04" localSheetId="7">#REF!</definedName>
    <definedName name="SG_07_04" localSheetId="3">#REF!</definedName>
    <definedName name="SG_07_04" localSheetId="11">#REF!</definedName>
    <definedName name="SG_07_04">'[14]Planilha PROJETISTA'!#REF!</definedName>
    <definedName name="SG_07_04_1" localSheetId="13">#REF!</definedName>
    <definedName name="SG_07_04_1" localSheetId="14">#REF!</definedName>
    <definedName name="SG_07_04_1" localSheetId="15">#REF!</definedName>
    <definedName name="SG_07_04_1" localSheetId="16">#REF!</definedName>
    <definedName name="SG_07_04_1" localSheetId="17">#REF!</definedName>
    <definedName name="SG_07_04_1" localSheetId="18">#REF!</definedName>
    <definedName name="SG_07_04_1" localSheetId="20">#REF!</definedName>
    <definedName name="SG_07_04_1" localSheetId="21">#REF!</definedName>
    <definedName name="SG_07_04_1" localSheetId="7">#REF!</definedName>
    <definedName name="SG_07_04_1" localSheetId="3">#REF!</definedName>
    <definedName name="SG_07_04_1" localSheetId="11">#REF!</definedName>
    <definedName name="SG_07_04_1">[5]RESUMO!#REF!</definedName>
    <definedName name="SG_07_05" localSheetId="13">#REF!</definedName>
    <definedName name="SG_07_05" localSheetId="14">#REF!</definedName>
    <definedName name="SG_07_05" localSheetId="15">#REF!</definedName>
    <definedName name="SG_07_05" localSheetId="16">#REF!</definedName>
    <definedName name="SG_07_05" localSheetId="17">#REF!</definedName>
    <definedName name="SG_07_05" localSheetId="18">#REF!</definedName>
    <definedName name="SG_07_05" localSheetId="20">#REF!</definedName>
    <definedName name="SG_07_05" localSheetId="21">#REF!</definedName>
    <definedName name="SG_07_05" localSheetId="7">#REF!</definedName>
    <definedName name="SG_07_05" localSheetId="3">#REF!</definedName>
    <definedName name="SG_07_05" localSheetId="11">#REF!</definedName>
    <definedName name="SG_07_05">'[14]Planilha PROJETISTA'!#REF!</definedName>
    <definedName name="SG_07_05_1" localSheetId="13">#REF!</definedName>
    <definedName name="SG_07_05_1" localSheetId="14">#REF!</definedName>
    <definedName name="SG_07_05_1" localSheetId="15">#REF!</definedName>
    <definedName name="SG_07_05_1" localSheetId="16">#REF!</definedName>
    <definedName name="SG_07_05_1" localSheetId="17">#REF!</definedName>
    <definedName name="SG_07_05_1" localSheetId="18">#REF!</definedName>
    <definedName name="SG_07_05_1" localSheetId="20">#REF!</definedName>
    <definedName name="SG_07_05_1" localSheetId="21">#REF!</definedName>
    <definedName name="SG_07_05_1" localSheetId="7">#REF!</definedName>
    <definedName name="SG_07_05_1" localSheetId="3">#REF!</definedName>
    <definedName name="SG_07_05_1" localSheetId="11">#REF!</definedName>
    <definedName name="SG_07_05_1">[5]RESUMO!#REF!</definedName>
    <definedName name="SG_07_06" localSheetId="13">#REF!</definedName>
    <definedName name="SG_07_06" localSheetId="14">#REF!</definedName>
    <definedName name="SG_07_06" localSheetId="15">#REF!</definedName>
    <definedName name="SG_07_06" localSheetId="16">#REF!</definedName>
    <definedName name="SG_07_06" localSheetId="17">#REF!</definedName>
    <definedName name="SG_07_06" localSheetId="18">#REF!</definedName>
    <definedName name="SG_07_06" localSheetId="20">#REF!</definedName>
    <definedName name="SG_07_06" localSheetId="21">#REF!</definedName>
    <definedName name="SG_07_06" localSheetId="7">#REF!</definedName>
    <definedName name="SG_07_06" localSheetId="3">#REF!</definedName>
    <definedName name="SG_07_06" localSheetId="11">#REF!</definedName>
    <definedName name="SG_07_06">'[14]Planilha PROJETISTA'!#REF!</definedName>
    <definedName name="SG_07_06_1" localSheetId="13">#REF!</definedName>
    <definedName name="SG_07_06_1" localSheetId="14">#REF!</definedName>
    <definedName name="SG_07_06_1" localSheetId="15">#REF!</definedName>
    <definedName name="SG_07_06_1" localSheetId="16">#REF!</definedName>
    <definedName name="SG_07_06_1" localSheetId="17">#REF!</definedName>
    <definedName name="SG_07_06_1" localSheetId="18">#REF!</definedName>
    <definedName name="SG_07_06_1" localSheetId="20">#REF!</definedName>
    <definedName name="SG_07_06_1" localSheetId="21">#REF!</definedName>
    <definedName name="SG_07_06_1" localSheetId="7">#REF!</definedName>
    <definedName name="SG_07_06_1" localSheetId="3">#REF!</definedName>
    <definedName name="SG_07_06_1" localSheetId="11">#REF!</definedName>
    <definedName name="SG_07_06_1">[5]RESUMO!#REF!</definedName>
    <definedName name="SG_07_07" localSheetId="13">#REF!</definedName>
    <definedName name="SG_07_07" localSheetId="14">#REF!</definedName>
    <definedName name="SG_07_07" localSheetId="15">#REF!</definedName>
    <definedName name="SG_07_07" localSheetId="16">#REF!</definedName>
    <definedName name="SG_07_07" localSheetId="17">#REF!</definedName>
    <definedName name="SG_07_07" localSheetId="18">#REF!</definedName>
    <definedName name="SG_07_07" localSheetId="20">#REF!</definedName>
    <definedName name="SG_07_07" localSheetId="21">#REF!</definedName>
    <definedName name="SG_07_07" localSheetId="7">#REF!</definedName>
    <definedName name="SG_07_07" localSheetId="3">#REF!</definedName>
    <definedName name="SG_07_07" localSheetId="11">#REF!</definedName>
    <definedName name="SG_07_07">'[14]Planilha PROJETISTA'!#REF!</definedName>
    <definedName name="SG_07_07_1" localSheetId="13">#REF!</definedName>
    <definedName name="SG_07_07_1" localSheetId="14">#REF!</definedName>
    <definedName name="SG_07_07_1" localSheetId="15">#REF!</definedName>
    <definedName name="SG_07_07_1" localSheetId="16">#REF!</definedName>
    <definedName name="SG_07_07_1" localSheetId="17">#REF!</definedName>
    <definedName name="SG_07_07_1" localSheetId="18">#REF!</definedName>
    <definedName name="SG_07_07_1" localSheetId="20">#REF!</definedName>
    <definedName name="SG_07_07_1" localSheetId="21">#REF!</definedName>
    <definedName name="SG_07_07_1" localSheetId="7">#REF!</definedName>
    <definedName name="SG_07_07_1" localSheetId="3">#REF!</definedName>
    <definedName name="SG_07_07_1" localSheetId="11">#REF!</definedName>
    <definedName name="SG_07_07_1">[5]RESUMO!#REF!</definedName>
    <definedName name="SG_07_08" localSheetId="13">#REF!</definedName>
    <definedName name="SG_07_08" localSheetId="14">#REF!</definedName>
    <definedName name="SG_07_08" localSheetId="15">#REF!</definedName>
    <definedName name="SG_07_08" localSheetId="16">#REF!</definedName>
    <definedName name="SG_07_08" localSheetId="17">#REF!</definedName>
    <definedName name="SG_07_08" localSheetId="18">#REF!</definedName>
    <definedName name="SG_07_08" localSheetId="20">#REF!</definedName>
    <definedName name="SG_07_08" localSheetId="21">#REF!</definedName>
    <definedName name="SG_07_08" localSheetId="7">#REF!</definedName>
    <definedName name="SG_07_08" localSheetId="3">#REF!</definedName>
    <definedName name="SG_07_08" localSheetId="11">#REF!</definedName>
    <definedName name="SG_07_08">'[14]Planilha PROJETISTA'!#REF!</definedName>
    <definedName name="SG_07_08_1" localSheetId="13">#REF!</definedName>
    <definedName name="SG_07_08_1" localSheetId="14">#REF!</definedName>
    <definedName name="SG_07_08_1" localSheetId="15">#REF!</definedName>
    <definedName name="SG_07_08_1" localSheetId="16">#REF!</definedName>
    <definedName name="SG_07_08_1" localSheetId="17">#REF!</definedName>
    <definedName name="SG_07_08_1" localSheetId="18">#REF!</definedName>
    <definedName name="SG_07_08_1" localSheetId="20">#REF!</definedName>
    <definedName name="SG_07_08_1" localSheetId="21">#REF!</definedName>
    <definedName name="SG_07_08_1" localSheetId="7">#REF!</definedName>
    <definedName name="SG_07_08_1" localSheetId="3">#REF!</definedName>
    <definedName name="SG_07_08_1" localSheetId="11">#REF!</definedName>
    <definedName name="SG_07_08_1">[5]RESUMO!#REF!</definedName>
    <definedName name="SG_07_09" localSheetId="13">#REF!</definedName>
    <definedName name="SG_07_09" localSheetId="14">#REF!</definedName>
    <definedName name="SG_07_09" localSheetId="15">#REF!</definedName>
    <definedName name="SG_07_09" localSheetId="16">#REF!</definedName>
    <definedName name="SG_07_09" localSheetId="17">#REF!</definedName>
    <definedName name="SG_07_09" localSheetId="18">#REF!</definedName>
    <definedName name="SG_07_09" localSheetId="20">#REF!</definedName>
    <definedName name="SG_07_09" localSheetId="21">#REF!</definedName>
    <definedName name="SG_07_09" localSheetId="7">#REF!</definedName>
    <definedName name="SG_07_09" localSheetId="3">#REF!</definedName>
    <definedName name="SG_07_09" localSheetId="11">#REF!</definedName>
    <definedName name="SG_07_09">'[14]Planilha PROJETISTA'!#REF!</definedName>
    <definedName name="SG_07_09_1" localSheetId="13">#REF!</definedName>
    <definedName name="SG_07_09_1" localSheetId="14">#REF!</definedName>
    <definedName name="SG_07_09_1" localSheetId="15">#REF!</definedName>
    <definedName name="SG_07_09_1" localSheetId="16">#REF!</definedName>
    <definedName name="SG_07_09_1" localSheetId="17">#REF!</definedName>
    <definedName name="SG_07_09_1" localSheetId="18">#REF!</definedName>
    <definedName name="SG_07_09_1" localSheetId="20">#REF!</definedName>
    <definedName name="SG_07_09_1" localSheetId="21">#REF!</definedName>
    <definedName name="SG_07_09_1" localSheetId="7">#REF!</definedName>
    <definedName name="SG_07_09_1" localSheetId="3">#REF!</definedName>
    <definedName name="SG_07_09_1" localSheetId="11">#REF!</definedName>
    <definedName name="SG_07_09_1">[5]RESUMO!#REF!</definedName>
    <definedName name="SG_07_10" localSheetId="13">#REF!</definedName>
    <definedName name="SG_07_10" localSheetId="14">#REF!</definedName>
    <definedName name="SG_07_10" localSheetId="15">#REF!</definedName>
    <definedName name="SG_07_10" localSheetId="16">#REF!</definedName>
    <definedName name="SG_07_10" localSheetId="17">#REF!</definedName>
    <definedName name="SG_07_10" localSheetId="18">#REF!</definedName>
    <definedName name="SG_07_10" localSheetId="20">#REF!</definedName>
    <definedName name="SG_07_10" localSheetId="21">#REF!</definedName>
    <definedName name="SG_07_10" localSheetId="7">#REF!</definedName>
    <definedName name="SG_07_10" localSheetId="3">#REF!</definedName>
    <definedName name="SG_07_10" localSheetId="11">#REF!</definedName>
    <definedName name="SG_07_10">'[14]Planilha PROJETISTA'!#REF!</definedName>
    <definedName name="SG_07_10_1" localSheetId="13">#REF!</definedName>
    <definedName name="SG_07_10_1" localSheetId="14">#REF!</definedName>
    <definedName name="SG_07_10_1" localSheetId="15">#REF!</definedName>
    <definedName name="SG_07_10_1" localSheetId="16">#REF!</definedName>
    <definedName name="SG_07_10_1" localSheetId="17">#REF!</definedName>
    <definedName name="SG_07_10_1" localSheetId="18">#REF!</definedName>
    <definedName name="SG_07_10_1" localSheetId="20">#REF!</definedName>
    <definedName name="SG_07_10_1" localSheetId="21">#REF!</definedName>
    <definedName name="SG_07_10_1" localSheetId="7">#REF!</definedName>
    <definedName name="SG_07_10_1" localSheetId="3">#REF!</definedName>
    <definedName name="SG_07_10_1" localSheetId="11">#REF!</definedName>
    <definedName name="SG_07_10_1">[5]RESUMO!#REF!</definedName>
    <definedName name="SG_07_11" localSheetId="13">#REF!</definedName>
    <definedName name="SG_07_11" localSheetId="14">#REF!</definedName>
    <definedName name="SG_07_11" localSheetId="15">#REF!</definedName>
    <definedName name="SG_07_11" localSheetId="16">#REF!</definedName>
    <definedName name="SG_07_11" localSheetId="17">#REF!</definedName>
    <definedName name="SG_07_11" localSheetId="18">#REF!</definedName>
    <definedName name="SG_07_11" localSheetId="20">#REF!</definedName>
    <definedName name="SG_07_11" localSheetId="21">#REF!</definedName>
    <definedName name="SG_07_11" localSheetId="7">#REF!</definedName>
    <definedName name="SG_07_11" localSheetId="3">#REF!</definedName>
    <definedName name="SG_07_11" localSheetId="11">#REF!</definedName>
    <definedName name="SG_07_11">'[14]Planilha PROJETISTA'!#REF!</definedName>
    <definedName name="SG_07_11_1" localSheetId="13">#REF!</definedName>
    <definedName name="SG_07_11_1" localSheetId="14">#REF!</definedName>
    <definedName name="SG_07_11_1" localSheetId="15">#REF!</definedName>
    <definedName name="SG_07_11_1" localSheetId="16">#REF!</definedName>
    <definedName name="SG_07_11_1" localSheetId="17">#REF!</definedName>
    <definedName name="SG_07_11_1" localSheetId="18">#REF!</definedName>
    <definedName name="SG_07_11_1" localSheetId="20">#REF!</definedName>
    <definedName name="SG_07_11_1" localSheetId="21">#REF!</definedName>
    <definedName name="SG_07_11_1" localSheetId="7">#REF!</definedName>
    <definedName name="SG_07_11_1" localSheetId="3">#REF!</definedName>
    <definedName name="SG_07_11_1" localSheetId="11">#REF!</definedName>
    <definedName name="SG_07_11_1">[5]RESUMO!#REF!</definedName>
    <definedName name="SG_07_12" localSheetId="13">#REF!</definedName>
    <definedName name="SG_07_12" localSheetId="14">#REF!</definedName>
    <definedName name="SG_07_12" localSheetId="15">#REF!</definedName>
    <definedName name="SG_07_12" localSheetId="16">#REF!</definedName>
    <definedName name="SG_07_12" localSheetId="17">#REF!</definedName>
    <definedName name="SG_07_12" localSheetId="18">#REF!</definedName>
    <definedName name="SG_07_12" localSheetId="20">#REF!</definedName>
    <definedName name="SG_07_12" localSheetId="21">#REF!</definedName>
    <definedName name="SG_07_12" localSheetId="7">#REF!</definedName>
    <definedName name="SG_07_12" localSheetId="3">#REF!</definedName>
    <definedName name="SG_07_12" localSheetId="11">#REF!</definedName>
    <definedName name="SG_07_12">'[14]Planilha PROJETISTA'!#REF!</definedName>
    <definedName name="SG_07_12_1" localSheetId="13">#REF!</definedName>
    <definedName name="SG_07_12_1" localSheetId="14">#REF!</definedName>
    <definedName name="SG_07_12_1" localSheetId="15">#REF!</definedName>
    <definedName name="SG_07_12_1" localSheetId="16">#REF!</definedName>
    <definedName name="SG_07_12_1" localSheetId="17">#REF!</definedName>
    <definedName name="SG_07_12_1" localSheetId="18">#REF!</definedName>
    <definedName name="SG_07_12_1" localSheetId="20">#REF!</definedName>
    <definedName name="SG_07_12_1" localSheetId="21">#REF!</definedName>
    <definedName name="SG_07_12_1" localSheetId="7">#REF!</definedName>
    <definedName name="SG_07_12_1" localSheetId="3">#REF!</definedName>
    <definedName name="SG_07_12_1" localSheetId="11">#REF!</definedName>
    <definedName name="SG_07_12_1">[5]RESUMO!#REF!</definedName>
    <definedName name="SG_07_13" localSheetId="13">#REF!</definedName>
    <definedName name="SG_07_13" localSheetId="14">#REF!</definedName>
    <definedName name="SG_07_13" localSheetId="15">#REF!</definedName>
    <definedName name="SG_07_13" localSheetId="16">#REF!</definedName>
    <definedName name="SG_07_13" localSheetId="17">#REF!</definedName>
    <definedName name="SG_07_13" localSheetId="18">#REF!</definedName>
    <definedName name="SG_07_13" localSheetId="20">#REF!</definedName>
    <definedName name="SG_07_13" localSheetId="21">#REF!</definedName>
    <definedName name="SG_07_13" localSheetId="7">#REF!</definedName>
    <definedName name="SG_07_13" localSheetId="3">#REF!</definedName>
    <definedName name="SG_07_13" localSheetId="11">#REF!</definedName>
    <definedName name="SG_07_13">'[14]Planilha PROJETISTA'!#REF!</definedName>
    <definedName name="SG_07_13_1" localSheetId="13">#REF!</definedName>
    <definedName name="SG_07_13_1" localSheetId="14">#REF!</definedName>
    <definedName name="SG_07_13_1" localSheetId="15">#REF!</definedName>
    <definedName name="SG_07_13_1" localSheetId="16">#REF!</definedName>
    <definedName name="SG_07_13_1" localSheetId="17">#REF!</definedName>
    <definedName name="SG_07_13_1" localSheetId="18">#REF!</definedName>
    <definedName name="SG_07_13_1" localSheetId="20">#REF!</definedName>
    <definedName name="SG_07_13_1" localSheetId="21">#REF!</definedName>
    <definedName name="SG_07_13_1" localSheetId="7">#REF!</definedName>
    <definedName name="SG_07_13_1" localSheetId="3">#REF!</definedName>
    <definedName name="SG_07_13_1" localSheetId="11">#REF!</definedName>
    <definedName name="SG_07_13_1">[5]RESUMO!#REF!</definedName>
    <definedName name="SG_07_14" localSheetId="13">#REF!</definedName>
    <definedName name="SG_07_14" localSheetId="14">#REF!</definedName>
    <definedName name="SG_07_14" localSheetId="15">#REF!</definedName>
    <definedName name="SG_07_14" localSheetId="16">#REF!</definedName>
    <definedName name="SG_07_14" localSheetId="17">#REF!</definedName>
    <definedName name="SG_07_14" localSheetId="18">#REF!</definedName>
    <definedName name="SG_07_14" localSheetId="20">#REF!</definedName>
    <definedName name="SG_07_14" localSheetId="21">#REF!</definedName>
    <definedName name="SG_07_14" localSheetId="7">#REF!</definedName>
    <definedName name="SG_07_14" localSheetId="3">#REF!</definedName>
    <definedName name="SG_07_14" localSheetId="11">#REF!</definedName>
    <definedName name="SG_07_14">'[14]Planilha PROJETISTA'!#REF!</definedName>
    <definedName name="SG_07_14_1" localSheetId="13">#REF!</definedName>
    <definedName name="SG_07_14_1" localSheetId="14">#REF!</definedName>
    <definedName name="SG_07_14_1" localSheetId="15">#REF!</definedName>
    <definedName name="SG_07_14_1" localSheetId="16">#REF!</definedName>
    <definedName name="SG_07_14_1" localSheetId="17">#REF!</definedName>
    <definedName name="SG_07_14_1" localSheetId="18">#REF!</definedName>
    <definedName name="SG_07_14_1" localSheetId="20">#REF!</definedName>
    <definedName name="SG_07_14_1" localSheetId="21">#REF!</definedName>
    <definedName name="SG_07_14_1" localSheetId="7">#REF!</definedName>
    <definedName name="SG_07_14_1" localSheetId="3">#REF!</definedName>
    <definedName name="SG_07_14_1" localSheetId="11">#REF!</definedName>
    <definedName name="SG_07_14_1">[5]RESUMO!#REF!</definedName>
    <definedName name="SG_07_15" localSheetId="13">#REF!</definedName>
    <definedName name="SG_07_15" localSheetId="14">#REF!</definedName>
    <definedName name="SG_07_15" localSheetId="15">#REF!</definedName>
    <definedName name="SG_07_15" localSheetId="16">#REF!</definedName>
    <definedName name="SG_07_15" localSheetId="17">#REF!</definedName>
    <definedName name="SG_07_15" localSheetId="18">#REF!</definedName>
    <definedName name="SG_07_15" localSheetId="20">#REF!</definedName>
    <definedName name="SG_07_15" localSheetId="21">#REF!</definedName>
    <definedName name="SG_07_15" localSheetId="7">#REF!</definedName>
    <definedName name="SG_07_15" localSheetId="3">#REF!</definedName>
    <definedName name="SG_07_15" localSheetId="11">#REF!</definedName>
    <definedName name="SG_07_15">'[14]Planilha PROJETISTA'!#REF!</definedName>
    <definedName name="SG_07_15_1" localSheetId="13">#REF!</definedName>
    <definedName name="SG_07_15_1" localSheetId="14">#REF!</definedName>
    <definedName name="SG_07_15_1" localSheetId="15">#REF!</definedName>
    <definedName name="SG_07_15_1" localSheetId="16">#REF!</definedName>
    <definedName name="SG_07_15_1" localSheetId="17">#REF!</definedName>
    <definedName name="SG_07_15_1" localSheetId="18">#REF!</definedName>
    <definedName name="SG_07_15_1" localSheetId="20">#REF!</definedName>
    <definedName name="SG_07_15_1" localSheetId="21">#REF!</definedName>
    <definedName name="SG_07_15_1" localSheetId="7">#REF!</definedName>
    <definedName name="SG_07_15_1" localSheetId="3">#REF!</definedName>
    <definedName name="SG_07_15_1" localSheetId="11">#REF!</definedName>
    <definedName name="SG_07_15_1">[5]RESUMO!#REF!</definedName>
    <definedName name="SG_07_16" localSheetId="13">#REF!</definedName>
    <definedName name="SG_07_16" localSheetId="14">#REF!</definedName>
    <definedName name="SG_07_16" localSheetId="15">#REF!</definedName>
    <definedName name="SG_07_16" localSheetId="16">#REF!</definedName>
    <definedName name="SG_07_16" localSheetId="17">#REF!</definedName>
    <definedName name="SG_07_16" localSheetId="18">#REF!</definedName>
    <definedName name="SG_07_16" localSheetId="20">#REF!</definedName>
    <definedName name="SG_07_16" localSheetId="21">#REF!</definedName>
    <definedName name="SG_07_16" localSheetId="7">#REF!</definedName>
    <definedName name="SG_07_16" localSheetId="3">#REF!</definedName>
    <definedName name="SG_07_16" localSheetId="11">#REF!</definedName>
    <definedName name="SG_07_16">'[14]Planilha PROJETISTA'!#REF!</definedName>
    <definedName name="SG_07_16_1" localSheetId="13">#REF!</definedName>
    <definedName name="SG_07_16_1" localSheetId="14">#REF!</definedName>
    <definedName name="SG_07_16_1" localSheetId="15">#REF!</definedName>
    <definedName name="SG_07_16_1" localSheetId="16">#REF!</definedName>
    <definedName name="SG_07_16_1" localSheetId="17">#REF!</definedName>
    <definedName name="SG_07_16_1" localSheetId="18">#REF!</definedName>
    <definedName name="SG_07_16_1" localSheetId="20">#REF!</definedName>
    <definedName name="SG_07_16_1" localSheetId="21">#REF!</definedName>
    <definedName name="SG_07_16_1" localSheetId="7">#REF!</definedName>
    <definedName name="SG_07_16_1" localSheetId="3">#REF!</definedName>
    <definedName name="SG_07_16_1" localSheetId="11">#REF!</definedName>
    <definedName name="SG_07_16_1">[5]RESUMO!#REF!</definedName>
    <definedName name="SG_07_17" localSheetId="13">#REF!</definedName>
    <definedName name="SG_07_17" localSheetId="14">#REF!</definedName>
    <definedName name="SG_07_17" localSheetId="15">#REF!</definedName>
    <definedName name="SG_07_17" localSheetId="16">#REF!</definedName>
    <definedName name="SG_07_17" localSheetId="17">#REF!</definedName>
    <definedName name="SG_07_17" localSheetId="18">#REF!</definedName>
    <definedName name="SG_07_17" localSheetId="20">#REF!</definedName>
    <definedName name="SG_07_17" localSheetId="21">#REF!</definedName>
    <definedName name="SG_07_17" localSheetId="7">#REF!</definedName>
    <definedName name="SG_07_17" localSheetId="3">#REF!</definedName>
    <definedName name="SG_07_17" localSheetId="11">#REF!</definedName>
    <definedName name="SG_07_17">'[14]Planilha PROJETISTA'!#REF!</definedName>
    <definedName name="SG_07_17_1" localSheetId="13">#REF!</definedName>
    <definedName name="SG_07_17_1" localSheetId="14">#REF!</definedName>
    <definedName name="SG_07_17_1" localSheetId="15">#REF!</definedName>
    <definedName name="SG_07_17_1" localSheetId="16">#REF!</definedName>
    <definedName name="SG_07_17_1" localSheetId="17">#REF!</definedName>
    <definedName name="SG_07_17_1" localSheetId="18">#REF!</definedName>
    <definedName name="SG_07_17_1" localSheetId="20">#REF!</definedName>
    <definedName name="SG_07_17_1" localSheetId="21">#REF!</definedName>
    <definedName name="SG_07_17_1" localSheetId="7">#REF!</definedName>
    <definedName name="SG_07_17_1" localSheetId="3">#REF!</definedName>
    <definedName name="SG_07_17_1" localSheetId="11">#REF!</definedName>
    <definedName name="SG_07_17_1">[5]RESUMO!#REF!</definedName>
    <definedName name="SG_07_18" localSheetId="13">#REF!</definedName>
    <definedName name="SG_07_18" localSheetId="14">#REF!</definedName>
    <definedName name="SG_07_18" localSheetId="15">#REF!</definedName>
    <definedName name="SG_07_18" localSheetId="16">#REF!</definedName>
    <definedName name="SG_07_18" localSheetId="17">#REF!</definedName>
    <definedName name="SG_07_18" localSheetId="18">#REF!</definedName>
    <definedName name="SG_07_18" localSheetId="20">#REF!</definedName>
    <definedName name="SG_07_18" localSheetId="21">#REF!</definedName>
    <definedName name="SG_07_18" localSheetId="7">#REF!</definedName>
    <definedName name="SG_07_18" localSheetId="3">#REF!</definedName>
    <definedName name="SG_07_18" localSheetId="11">#REF!</definedName>
    <definedName name="SG_07_18">'[14]Planilha PROJETISTA'!#REF!</definedName>
    <definedName name="SG_07_18_1" localSheetId="13">#REF!</definedName>
    <definedName name="SG_07_18_1" localSheetId="14">#REF!</definedName>
    <definedName name="SG_07_18_1" localSheetId="15">#REF!</definedName>
    <definedName name="SG_07_18_1" localSheetId="16">#REF!</definedName>
    <definedName name="SG_07_18_1" localSheetId="17">#REF!</definedName>
    <definedName name="SG_07_18_1" localSheetId="18">#REF!</definedName>
    <definedName name="SG_07_18_1" localSheetId="20">#REF!</definedName>
    <definedName name="SG_07_18_1" localSheetId="21">#REF!</definedName>
    <definedName name="SG_07_18_1" localSheetId="7">#REF!</definedName>
    <definedName name="SG_07_18_1" localSheetId="3">#REF!</definedName>
    <definedName name="SG_07_18_1" localSheetId="11">#REF!</definedName>
    <definedName name="SG_07_18_1">[5]RESUMO!#REF!</definedName>
    <definedName name="SG_07_19" localSheetId="13">#REF!</definedName>
    <definedName name="SG_07_19" localSheetId="14">#REF!</definedName>
    <definedName name="SG_07_19" localSheetId="15">#REF!</definedName>
    <definedName name="SG_07_19" localSheetId="16">#REF!</definedName>
    <definedName name="SG_07_19" localSheetId="17">#REF!</definedName>
    <definedName name="SG_07_19" localSheetId="18">#REF!</definedName>
    <definedName name="SG_07_19" localSheetId="20">#REF!</definedName>
    <definedName name="SG_07_19" localSheetId="21">#REF!</definedName>
    <definedName name="SG_07_19" localSheetId="7">#REF!</definedName>
    <definedName name="SG_07_19" localSheetId="3">#REF!</definedName>
    <definedName name="SG_07_19" localSheetId="11">#REF!</definedName>
    <definedName name="SG_07_19">'[14]Planilha PROJETISTA'!#REF!</definedName>
    <definedName name="SG_07_19_1" localSheetId="13">#REF!</definedName>
    <definedName name="SG_07_19_1" localSheetId="14">#REF!</definedName>
    <definedName name="SG_07_19_1" localSheetId="15">#REF!</definedName>
    <definedName name="SG_07_19_1" localSheetId="16">#REF!</definedName>
    <definedName name="SG_07_19_1" localSheetId="17">#REF!</definedName>
    <definedName name="SG_07_19_1" localSheetId="18">#REF!</definedName>
    <definedName name="SG_07_19_1" localSheetId="20">#REF!</definedName>
    <definedName name="SG_07_19_1" localSheetId="21">#REF!</definedName>
    <definedName name="SG_07_19_1" localSheetId="7">#REF!</definedName>
    <definedName name="SG_07_19_1" localSheetId="3">#REF!</definedName>
    <definedName name="SG_07_19_1" localSheetId="11">#REF!</definedName>
    <definedName name="SG_07_19_1">[5]RESUMO!#REF!</definedName>
    <definedName name="SG_07_20" localSheetId="13">#REF!</definedName>
    <definedName name="SG_07_20" localSheetId="14">#REF!</definedName>
    <definedName name="SG_07_20" localSheetId="15">#REF!</definedName>
    <definedName name="SG_07_20" localSheetId="16">#REF!</definedName>
    <definedName name="SG_07_20" localSheetId="17">#REF!</definedName>
    <definedName name="SG_07_20" localSheetId="18">#REF!</definedName>
    <definedName name="SG_07_20" localSheetId="20">#REF!</definedName>
    <definedName name="SG_07_20" localSheetId="21">#REF!</definedName>
    <definedName name="SG_07_20" localSheetId="7">#REF!</definedName>
    <definedName name="SG_07_20" localSheetId="3">#REF!</definedName>
    <definedName name="SG_07_20" localSheetId="11">#REF!</definedName>
    <definedName name="SG_07_20">'[14]Planilha PROJETISTA'!#REF!</definedName>
    <definedName name="SG_07_20_1" localSheetId="13">#REF!</definedName>
    <definedName name="SG_07_20_1" localSheetId="14">#REF!</definedName>
    <definedName name="SG_07_20_1" localSheetId="15">#REF!</definedName>
    <definedName name="SG_07_20_1" localSheetId="16">#REF!</definedName>
    <definedName name="SG_07_20_1" localSheetId="17">#REF!</definedName>
    <definedName name="SG_07_20_1" localSheetId="18">#REF!</definedName>
    <definedName name="SG_07_20_1" localSheetId="20">#REF!</definedName>
    <definedName name="SG_07_20_1" localSheetId="21">#REF!</definedName>
    <definedName name="SG_07_20_1" localSheetId="7">#REF!</definedName>
    <definedName name="SG_07_20_1" localSheetId="3">#REF!</definedName>
    <definedName name="SG_07_20_1" localSheetId="11">#REF!</definedName>
    <definedName name="SG_07_20_1">[5]RESUMO!#REF!</definedName>
    <definedName name="SG_08_01_1" localSheetId="13">#REF!</definedName>
    <definedName name="SG_08_01_1" localSheetId="14">#REF!</definedName>
    <definedName name="SG_08_01_1" localSheetId="15">#REF!</definedName>
    <definedName name="SG_08_01_1" localSheetId="16">#REF!</definedName>
    <definedName name="SG_08_01_1" localSheetId="17">#REF!</definedName>
    <definedName name="SG_08_01_1" localSheetId="18">#REF!</definedName>
    <definedName name="SG_08_01_1" localSheetId="20">#REF!</definedName>
    <definedName name="SG_08_01_1" localSheetId="21">#REF!</definedName>
    <definedName name="SG_08_01_1" localSheetId="7">#REF!</definedName>
    <definedName name="SG_08_01_1" localSheetId="3">#REF!</definedName>
    <definedName name="SG_08_01_1" localSheetId="11">#REF!</definedName>
    <definedName name="SG_08_01_1">[5]RESUMO!#REF!</definedName>
    <definedName name="SG_08_02" localSheetId="13">#REF!</definedName>
    <definedName name="SG_08_02" localSheetId="14">#REF!</definedName>
    <definedName name="SG_08_02" localSheetId="15">#REF!</definedName>
    <definedName name="SG_08_02" localSheetId="16">#REF!</definedName>
    <definedName name="SG_08_02" localSheetId="17">#REF!</definedName>
    <definedName name="SG_08_02" localSheetId="18">#REF!</definedName>
    <definedName name="SG_08_02" localSheetId="20">#REF!</definedName>
    <definedName name="SG_08_02" localSheetId="21">#REF!</definedName>
    <definedName name="SG_08_02" localSheetId="7">#REF!</definedName>
    <definedName name="SG_08_02" localSheetId="3">#REF!</definedName>
    <definedName name="SG_08_02" localSheetId="11">#REF!</definedName>
    <definedName name="SG_08_02">'[14]Planilha PROJETISTA'!#REF!</definedName>
    <definedName name="SG_08_02_1" localSheetId="13">#REF!</definedName>
    <definedName name="SG_08_02_1" localSheetId="14">#REF!</definedName>
    <definedName name="SG_08_02_1" localSheetId="15">#REF!</definedName>
    <definedName name="SG_08_02_1" localSheetId="16">#REF!</definedName>
    <definedName name="SG_08_02_1" localSheetId="17">#REF!</definedName>
    <definedName name="SG_08_02_1" localSheetId="18">#REF!</definedName>
    <definedName name="SG_08_02_1" localSheetId="20">#REF!</definedName>
    <definedName name="SG_08_02_1" localSheetId="21">#REF!</definedName>
    <definedName name="SG_08_02_1" localSheetId="7">#REF!</definedName>
    <definedName name="SG_08_02_1" localSheetId="3">#REF!</definedName>
    <definedName name="SG_08_02_1" localSheetId="11">#REF!</definedName>
    <definedName name="SG_08_02_1">[5]RESUMO!#REF!</definedName>
    <definedName name="SG_08_03" localSheetId="13">#REF!</definedName>
    <definedName name="SG_08_03" localSheetId="14">#REF!</definedName>
    <definedName name="SG_08_03" localSheetId="15">#REF!</definedName>
    <definedName name="SG_08_03" localSheetId="16">#REF!</definedName>
    <definedName name="SG_08_03" localSheetId="17">#REF!</definedName>
    <definedName name="SG_08_03" localSheetId="18">#REF!</definedName>
    <definedName name="SG_08_03" localSheetId="20">#REF!</definedName>
    <definedName name="SG_08_03" localSheetId="21">#REF!</definedName>
    <definedName name="SG_08_03" localSheetId="7">#REF!</definedName>
    <definedName name="SG_08_03" localSheetId="3">#REF!</definedName>
    <definedName name="SG_08_03" localSheetId="11">#REF!</definedName>
    <definedName name="SG_08_03">'[14]Planilha PROJETISTA'!#REF!</definedName>
    <definedName name="SG_08_03_1" localSheetId="13">#REF!</definedName>
    <definedName name="SG_08_03_1" localSheetId="14">#REF!</definedName>
    <definedName name="SG_08_03_1" localSheetId="15">#REF!</definedName>
    <definedName name="SG_08_03_1" localSheetId="16">#REF!</definedName>
    <definedName name="SG_08_03_1" localSheetId="17">#REF!</definedName>
    <definedName name="SG_08_03_1" localSheetId="18">#REF!</definedName>
    <definedName name="SG_08_03_1" localSheetId="20">#REF!</definedName>
    <definedName name="SG_08_03_1" localSheetId="21">#REF!</definedName>
    <definedName name="SG_08_03_1" localSheetId="7">#REF!</definedName>
    <definedName name="SG_08_03_1" localSheetId="3">#REF!</definedName>
    <definedName name="SG_08_03_1" localSheetId="11">#REF!</definedName>
    <definedName name="SG_08_03_1">[5]RESUMO!#REF!</definedName>
    <definedName name="SG_08_04" localSheetId="13">#REF!</definedName>
    <definedName name="SG_08_04" localSheetId="14">#REF!</definedName>
    <definedName name="SG_08_04" localSheetId="15">#REF!</definedName>
    <definedName name="SG_08_04" localSheetId="16">#REF!</definedName>
    <definedName name="SG_08_04" localSheetId="17">#REF!</definedName>
    <definedName name="SG_08_04" localSheetId="18">#REF!</definedName>
    <definedName name="SG_08_04" localSheetId="20">#REF!</definedName>
    <definedName name="SG_08_04" localSheetId="21">#REF!</definedName>
    <definedName name="SG_08_04" localSheetId="7">#REF!</definedName>
    <definedName name="SG_08_04" localSheetId="3">#REF!</definedName>
    <definedName name="SG_08_04" localSheetId="11">#REF!</definedName>
    <definedName name="SG_08_04">'[14]Planilha PROJETISTA'!#REF!</definedName>
    <definedName name="SG_08_04_1" localSheetId="13">#REF!</definedName>
    <definedName name="SG_08_04_1" localSheetId="14">#REF!</definedName>
    <definedName name="SG_08_04_1" localSheetId="15">#REF!</definedName>
    <definedName name="SG_08_04_1" localSheetId="16">#REF!</definedName>
    <definedName name="SG_08_04_1" localSheetId="17">#REF!</definedName>
    <definedName name="SG_08_04_1" localSheetId="18">#REF!</definedName>
    <definedName name="SG_08_04_1" localSheetId="20">#REF!</definedName>
    <definedName name="SG_08_04_1" localSheetId="21">#REF!</definedName>
    <definedName name="SG_08_04_1" localSheetId="7">#REF!</definedName>
    <definedName name="SG_08_04_1" localSheetId="3">#REF!</definedName>
    <definedName name="SG_08_04_1" localSheetId="11">#REF!</definedName>
    <definedName name="SG_08_04_1">[5]RESUMO!#REF!</definedName>
    <definedName name="SG_08_05" localSheetId="13">#REF!</definedName>
    <definedName name="SG_08_05" localSheetId="14">#REF!</definedName>
    <definedName name="SG_08_05" localSheetId="15">#REF!</definedName>
    <definedName name="SG_08_05" localSheetId="16">#REF!</definedName>
    <definedName name="SG_08_05" localSheetId="17">#REF!</definedName>
    <definedName name="SG_08_05" localSheetId="18">#REF!</definedName>
    <definedName name="SG_08_05" localSheetId="20">#REF!</definedName>
    <definedName name="SG_08_05" localSheetId="21">#REF!</definedName>
    <definedName name="SG_08_05" localSheetId="7">#REF!</definedName>
    <definedName name="SG_08_05" localSheetId="3">#REF!</definedName>
    <definedName name="SG_08_05" localSheetId="11">#REF!</definedName>
    <definedName name="SG_08_05">'[14]Planilha PROJETISTA'!#REF!</definedName>
    <definedName name="SG_08_05_1" localSheetId="13">#REF!</definedName>
    <definedName name="SG_08_05_1" localSheetId="14">#REF!</definedName>
    <definedName name="SG_08_05_1" localSheetId="15">#REF!</definedName>
    <definedName name="SG_08_05_1" localSheetId="16">#REF!</definedName>
    <definedName name="SG_08_05_1" localSheetId="17">#REF!</definedName>
    <definedName name="SG_08_05_1" localSheetId="18">#REF!</definedName>
    <definedName name="SG_08_05_1" localSheetId="20">#REF!</definedName>
    <definedName name="SG_08_05_1" localSheetId="21">#REF!</definedName>
    <definedName name="SG_08_05_1" localSheetId="7">#REF!</definedName>
    <definedName name="SG_08_05_1" localSheetId="3">#REF!</definedName>
    <definedName name="SG_08_05_1" localSheetId="11">#REF!</definedName>
    <definedName name="SG_08_05_1">[5]RESUMO!#REF!</definedName>
    <definedName name="SG_08_06" localSheetId="13">#REF!</definedName>
    <definedName name="SG_08_06" localSheetId="14">#REF!</definedName>
    <definedName name="SG_08_06" localSheetId="15">#REF!</definedName>
    <definedName name="SG_08_06" localSheetId="16">#REF!</definedName>
    <definedName name="SG_08_06" localSheetId="17">#REF!</definedName>
    <definedName name="SG_08_06" localSheetId="18">#REF!</definedName>
    <definedName name="SG_08_06" localSheetId="20">#REF!</definedName>
    <definedName name="SG_08_06" localSheetId="21">#REF!</definedName>
    <definedName name="SG_08_06" localSheetId="7">#REF!</definedName>
    <definedName name="SG_08_06" localSheetId="3">#REF!</definedName>
    <definedName name="SG_08_06" localSheetId="11">#REF!</definedName>
    <definedName name="SG_08_06">'[14]Planilha PROJETISTA'!#REF!</definedName>
    <definedName name="SG_08_06_1" localSheetId="13">#REF!</definedName>
    <definedName name="SG_08_06_1" localSheetId="14">#REF!</definedName>
    <definedName name="SG_08_06_1" localSheetId="15">#REF!</definedName>
    <definedName name="SG_08_06_1" localSheetId="16">#REF!</definedName>
    <definedName name="SG_08_06_1" localSheetId="17">#REF!</definedName>
    <definedName name="SG_08_06_1" localSheetId="18">#REF!</definedName>
    <definedName name="SG_08_06_1" localSheetId="20">#REF!</definedName>
    <definedName name="SG_08_06_1" localSheetId="21">#REF!</definedName>
    <definedName name="SG_08_06_1" localSheetId="7">#REF!</definedName>
    <definedName name="SG_08_06_1" localSheetId="3">#REF!</definedName>
    <definedName name="SG_08_06_1" localSheetId="11">#REF!</definedName>
    <definedName name="SG_08_06_1">[5]RESUMO!#REF!</definedName>
    <definedName name="SG_08_07" localSheetId="13">#REF!</definedName>
    <definedName name="SG_08_07" localSheetId="14">#REF!</definedName>
    <definedName name="SG_08_07" localSheetId="15">#REF!</definedName>
    <definedName name="SG_08_07" localSheetId="16">#REF!</definedName>
    <definedName name="SG_08_07" localSheetId="17">#REF!</definedName>
    <definedName name="SG_08_07" localSheetId="18">#REF!</definedName>
    <definedName name="SG_08_07" localSheetId="20">#REF!</definedName>
    <definedName name="SG_08_07" localSheetId="21">#REF!</definedName>
    <definedName name="SG_08_07" localSheetId="7">#REF!</definedName>
    <definedName name="SG_08_07" localSheetId="3">#REF!</definedName>
    <definedName name="SG_08_07" localSheetId="11">#REF!</definedName>
    <definedName name="SG_08_07">'[14]Planilha PROJETISTA'!#REF!</definedName>
    <definedName name="SG_08_07_1" localSheetId="13">#REF!</definedName>
    <definedName name="SG_08_07_1" localSheetId="14">#REF!</definedName>
    <definedName name="SG_08_07_1" localSheetId="15">#REF!</definedName>
    <definedName name="SG_08_07_1" localSheetId="16">#REF!</definedName>
    <definedName name="SG_08_07_1" localSheetId="17">#REF!</definedName>
    <definedName name="SG_08_07_1" localSheetId="18">#REF!</definedName>
    <definedName name="SG_08_07_1" localSheetId="20">#REF!</definedName>
    <definedName name="SG_08_07_1" localSheetId="21">#REF!</definedName>
    <definedName name="SG_08_07_1" localSheetId="7">#REF!</definedName>
    <definedName name="SG_08_07_1" localSheetId="3">#REF!</definedName>
    <definedName name="SG_08_07_1" localSheetId="11">#REF!</definedName>
    <definedName name="SG_08_07_1">[5]RESUMO!#REF!</definedName>
    <definedName name="SG_08_08" localSheetId="13">#REF!</definedName>
    <definedName name="SG_08_08" localSheetId="14">#REF!</definedName>
    <definedName name="SG_08_08" localSheetId="15">#REF!</definedName>
    <definedName name="SG_08_08" localSheetId="16">#REF!</definedName>
    <definedName name="SG_08_08" localSheetId="17">#REF!</definedName>
    <definedName name="SG_08_08" localSheetId="18">#REF!</definedName>
    <definedName name="SG_08_08" localSheetId="20">#REF!</definedName>
    <definedName name="SG_08_08" localSheetId="21">#REF!</definedName>
    <definedName name="SG_08_08" localSheetId="7">#REF!</definedName>
    <definedName name="SG_08_08" localSheetId="3">#REF!</definedName>
    <definedName name="SG_08_08" localSheetId="11">#REF!</definedName>
    <definedName name="SG_08_08">'[14]Planilha PROJETISTA'!#REF!</definedName>
    <definedName name="SG_08_08_1" localSheetId="13">#REF!</definedName>
    <definedName name="SG_08_08_1" localSheetId="14">#REF!</definedName>
    <definedName name="SG_08_08_1" localSheetId="15">#REF!</definedName>
    <definedName name="SG_08_08_1" localSheetId="16">#REF!</definedName>
    <definedName name="SG_08_08_1" localSheetId="17">#REF!</definedName>
    <definedName name="SG_08_08_1" localSheetId="18">#REF!</definedName>
    <definedName name="SG_08_08_1" localSheetId="20">#REF!</definedName>
    <definedName name="SG_08_08_1" localSheetId="21">#REF!</definedName>
    <definedName name="SG_08_08_1" localSheetId="7">#REF!</definedName>
    <definedName name="SG_08_08_1" localSheetId="3">#REF!</definedName>
    <definedName name="SG_08_08_1" localSheetId="11">#REF!</definedName>
    <definedName name="SG_08_08_1">[5]RESUMO!#REF!</definedName>
    <definedName name="SG_08_09" localSheetId="13">#REF!</definedName>
    <definedName name="SG_08_09" localSheetId="14">#REF!</definedName>
    <definedName name="SG_08_09" localSheetId="15">#REF!</definedName>
    <definedName name="SG_08_09" localSheetId="16">#REF!</definedName>
    <definedName name="SG_08_09" localSheetId="17">#REF!</definedName>
    <definedName name="SG_08_09" localSheetId="18">#REF!</definedName>
    <definedName name="SG_08_09" localSheetId="20">#REF!</definedName>
    <definedName name="SG_08_09" localSheetId="21">#REF!</definedName>
    <definedName name="SG_08_09" localSheetId="7">#REF!</definedName>
    <definedName name="SG_08_09" localSheetId="3">#REF!</definedName>
    <definedName name="SG_08_09" localSheetId="11">#REF!</definedName>
    <definedName name="SG_08_09">'[14]Planilha PROJETISTA'!#REF!</definedName>
    <definedName name="SG_08_09_1" localSheetId="13">#REF!</definedName>
    <definedName name="SG_08_09_1" localSheetId="14">#REF!</definedName>
    <definedName name="SG_08_09_1" localSheetId="15">#REF!</definedName>
    <definedName name="SG_08_09_1" localSheetId="16">#REF!</definedName>
    <definedName name="SG_08_09_1" localSheetId="17">#REF!</definedName>
    <definedName name="SG_08_09_1" localSheetId="18">#REF!</definedName>
    <definedName name="SG_08_09_1" localSheetId="20">#REF!</definedName>
    <definedName name="SG_08_09_1" localSheetId="21">#REF!</definedName>
    <definedName name="SG_08_09_1" localSheetId="7">#REF!</definedName>
    <definedName name="SG_08_09_1" localSheetId="3">#REF!</definedName>
    <definedName name="SG_08_09_1" localSheetId="11">#REF!</definedName>
    <definedName name="SG_08_09_1">[5]RESUMO!#REF!</definedName>
    <definedName name="SG_08_10" localSheetId="13">#REF!</definedName>
    <definedName name="SG_08_10" localSheetId="14">#REF!</definedName>
    <definedName name="SG_08_10" localSheetId="15">#REF!</definedName>
    <definedName name="SG_08_10" localSheetId="16">#REF!</definedName>
    <definedName name="SG_08_10" localSheetId="17">#REF!</definedName>
    <definedName name="SG_08_10" localSheetId="18">#REF!</definedName>
    <definedName name="SG_08_10" localSheetId="20">#REF!</definedName>
    <definedName name="SG_08_10" localSheetId="21">#REF!</definedName>
    <definedName name="SG_08_10" localSheetId="7">#REF!</definedName>
    <definedName name="SG_08_10" localSheetId="3">#REF!</definedName>
    <definedName name="SG_08_10" localSheetId="11">#REF!</definedName>
    <definedName name="SG_08_10">'[14]Planilha PROJETISTA'!#REF!</definedName>
    <definedName name="SG_08_10_1" localSheetId="13">#REF!</definedName>
    <definedName name="SG_08_10_1" localSheetId="14">#REF!</definedName>
    <definedName name="SG_08_10_1" localSheetId="15">#REF!</definedName>
    <definedName name="SG_08_10_1" localSheetId="16">#REF!</definedName>
    <definedName name="SG_08_10_1" localSheetId="17">#REF!</definedName>
    <definedName name="SG_08_10_1" localSheetId="18">#REF!</definedName>
    <definedName name="SG_08_10_1" localSheetId="20">#REF!</definedName>
    <definedName name="SG_08_10_1" localSheetId="21">#REF!</definedName>
    <definedName name="SG_08_10_1" localSheetId="7">#REF!</definedName>
    <definedName name="SG_08_10_1" localSheetId="3">#REF!</definedName>
    <definedName name="SG_08_10_1" localSheetId="11">#REF!</definedName>
    <definedName name="SG_08_10_1">[5]RESUMO!#REF!</definedName>
    <definedName name="SG_08_11" localSheetId="13">#REF!</definedName>
    <definedName name="SG_08_11" localSheetId="14">#REF!</definedName>
    <definedName name="SG_08_11" localSheetId="15">#REF!</definedName>
    <definedName name="SG_08_11" localSheetId="16">#REF!</definedName>
    <definedName name="SG_08_11" localSheetId="17">#REF!</definedName>
    <definedName name="SG_08_11" localSheetId="18">#REF!</definedName>
    <definedName name="SG_08_11" localSheetId="20">#REF!</definedName>
    <definedName name="SG_08_11" localSheetId="21">#REF!</definedName>
    <definedName name="SG_08_11" localSheetId="7">#REF!</definedName>
    <definedName name="SG_08_11" localSheetId="3">#REF!</definedName>
    <definedName name="SG_08_11" localSheetId="11">#REF!</definedName>
    <definedName name="SG_08_11">'[14]Planilha PROJETISTA'!#REF!</definedName>
    <definedName name="SG_08_11_1" localSheetId="13">#REF!</definedName>
    <definedName name="SG_08_11_1" localSheetId="14">#REF!</definedName>
    <definedName name="SG_08_11_1" localSheetId="15">#REF!</definedName>
    <definedName name="SG_08_11_1" localSheetId="16">#REF!</definedName>
    <definedName name="SG_08_11_1" localSheetId="17">#REF!</definedName>
    <definedName name="SG_08_11_1" localSheetId="18">#REF!</definedName>
    <definedName name="SG_08_11_1" localSheetId="20">#REF!</definedName>
    <definedName name="SG_08_11_1" localSheetId="21">#REF!</definedName>
    <definedName name="SG_08_11_1" localSheetId="7">#REF!</definedName>
    <definedName name="SG_08_11_1" localSheetId="3">#REF!</definedName>
    <definedName name="SG_08_11_1" localSheetId="11">#REF!</definedName>
    <definedName name="SG_08_11_1">[5]RESUMO!#REF!</definedName>
    <definedName name="SG_08_12" localSheetId="13">#REF!</definedName>
    <definedName name="SG_08_12" localSheetId="14">#REF!</definedName>
    <definedName name="SG_08_12" localSheetId="15">#REF!</definedName>
    <definedName name="SG_08_12" localSheetId="16">#REF!</definedName>
    <definedName name="SG_08_12" localSheetId="17">#REF!</definedName>
    <definedName name="SG_08_12" localSheetId="18">#REF!</definedName>
    <definedName name="SG_08_12" localSheetId="20">#REF!</definedName>
    <definedName name="SG_08_12" localSheetId="21">#REF!</definedName>
    <definedName name="SG_08_12" localSheetId="7">#REF!</definedName>
    <definedName name="SG_08_12" localSheetId="3">#REF!</definedName>
    <definedName name="SG_08_12" localSheetId="11">#REF!</definedName>
    <definedName name="SG_08_12">'[14]Planilha PROJETISTA'!#REF!</definedName>
    <definedName name="SG_08_12_1" localSheetId="13">#REF!</definedName>
    <definedName name="SG_08_12_1" localSheetId="14">#REF!</definedName>
    <definedName name="SG_08_12_1" localSheetId="15">#REF!</definedName>
    <definedName name="SG_08_12_1" localSheetId="16">#REF!</definedName>
    <definedName name="SG_08_12_1" localSheetId="17">#REF!</definedName>
    <definedName name="SG_08_12_1" localSheetId="18">#REF!</definedName>
    <definedName name="SG_08_12_1" localSheetId="20">#REF!</definedName>
    <definedName name="SG_08_12_1" localSheetId="21">#REF!</definedName>
    <definedName name="SG_08_12_1" localSheetId="7">#REF!</definedName>
    <definedName name="SG_08_12_1" localSheetId="3">#REF!</definedName>
    <definedName name="SG_08_12_1" localSheetId="11">#REF!</definedName>
    <definedName name="SG_08_12_1">[5]RESUMO!#REF!</definedName>
    <definedName name="SG_08_13" localSheetId="13">#REF!</definedName>
    <definedName name="SG_08_13" localSheetId="14">#REF!</definedName>
    <definedName name="SG_08_13" localSheetId="15">#REF!</definedName>
    <definedName name="SG_08_13" localSheetId="16">#REF!</definedName>
    <definedName name="SG_08_13" localSheetId="17">#REF!</definedName>
    <definedName name="SG_08_13" localSheetId="18">#REF!</definedName>
    <definedName name="SG_08_13" localSheetId="20">#REF!</definedName>
    <definedName name="SG_08_13" localSheetId="21">#REF!</definedName>
    <definedName name="SG_08_13" localSheetId="7">#REF!</definedName>
    <definedName name="SG_08_13" localSheetId="3">#REF!</definedName>
    <definedName name="SG_08_13" localSheetId="11">#REF!</definedName>
    <definedName name="SG_08_13">'[14]Planilha PROJETISTA'!#REF!</definedName>
    <definedName name="SG_08_13_1" localSheetId="13">#REF!</definedName>
    <definedName name="SG_08_13_1" localSheetId="14">#REF!</definedName>
    <definedName name="SG_08_13_1" localSheetId="15">#REF!</definedName>
    <definedName name="SG_08_13_1" localSheetId="16">#REF!</definedName>
    <definedName name="SG_08_13_1" localSheetId="17">#REF!</definedName>
    <definedName name="SG_08_13_1" localSheetId="18">#REF!</definedName>
    <definedName name="SG_08_13_1" localSheetId="20">#REF!</definedName>
    <definedName name="SG_08_13_1" localSheetId="21">#REF!</definedName>
    <definedName name="SG_08_13_1" localSheetId="7">#REF!</definedName>
    <definedName name="SG_08_13_1" localSheetId="3">#REF!</definedName>
    <definedName name="SG_08_13_1" localSheetId="11">#REF!</definedName>
    <definedName name="SG_08_13_1">[5]RESUMO!#REF!</definedName>
    <definedName name="SG_08_14" localSheetId="13">#REF!</definedName>
    <definedName name="SG_08_14" localSheetId="14">#REF!</definedName>
    <definedName name="SG_08_14" localSheetId="15">#REF!</definedName>
    <definedName name="SG_08_14" localSheetId="16">#REF!</definedName>
    <definedName name="SG_08_14" localSheetId="17">#REF!</definedName>
    <definedName name="SG_08_14" localSheetId="18">#REF!</definedName>
    <definedName name="SG_08_14" localSheetId="20">#REF!</definedName>
    <definedName name="SG_08_14" localSheetId="21">#REF!</definedName>
    <definedName name="SG_08_14" localSheetId="7">#REF!</definedName>
    <definedName name="SG_08_14" localSheetId="3">#REF!</definedName>
    <definedName name="SG_08_14" localSheetId="11">#REF!</definedName>
    <definedName name="SG_08_14">'[14]Planilha PROJETISTA'!#REF!</definedName>
    <definedName name="SG_08_14_1" localSheetId="13">#REF!</definedName>
    <definedName name="SG_08_14_1" localSheetId="14">#REF!</definedName>
    <definedName name="SG_08_14_1" localSheetId="15">#REF!</definedName>
    <definedName name="SG_08_14_1" localSheetId="16">#REF!</definedName>
    <definedName name="SG_08_14_1" localSheetId="17">#REF!</definedName>
    <definedName name="SG_08_14_1" localSheetId="18">#REF!</definedName>
    <definedName name="SG_08_14_1" localSheetId="20">#REF!</definedName>
    <definedName name="SG_08_14_1" localSheetId="21">#REF!</definedName>
    <definedName name="SG_08_14_1" localSheetId="7">#REF!</definedName>
    <definedName name="SG_08_14_1" localSheetId="3">#REF!</definedName>
    <definedName name="SG_08_14_1" localSheetId="11">#REF!</definedName>
    <definedName name="SG_08_14_1">[5]RESUMO!#REF!</definedName>
    <definedName name="SG_08_15" localSheetId="13">#REF!</definedName>
    <definedName name="SG_08_15" localSheetId="14">#REF!</definedName>
    <definedName name="SG_08_15" localSheetId="15">#REF!</definedName>
    <definedName name="SG_08_15" localSheetId="16">#REF!</definedName>
    <definedName name="SG_08_15" localSheetId="17">#REF!</definedName>
    <definedName name="SG_08_15" localSheetId="18">#REF!</definedName>
    <definedName name="SG_08_15" localSheetId="20">#REF!</definedName>
    <definedName name="SG_08_15" localSheetId="21">#REF!</definedName>
    <definedName name="SG_08_15" localSheetId="7">#REF!</definedName>
    <definedName name="SG_08_15" localSheetId="3">#REF!</definedName>
    <definedName name="SG_08_15" localSheetId="11">#REF!</definedName>
    <definedName name="SG_08_15">'[14]Planilha PROJETISTA'!#REF!</definedName>
    <definedName name="SG_08_15_1" localSheetId="13">#REF!</definedName>
    <definedName name="SG_08_15_1" localSheetId="14">#REF!</definedName>
    <definedName name="SG_08_15_1" localSheetId="15">#REF!</definedName>
    <definedName name="SG_08_15_1" localSheetId="16">#REF!</definedName>
    <definedName name="SG_08_15_1" localSheetId="17">#REF!</definedName>
    <definedName name="SG_08_15_1" localSheetId="18">#REF!</definedName>
    <definedName name="SG_08_15_1" localSheetId="20">#REF!</definedName>
    <definedName name="SG_08_15_1" localSheetId="21">#REF!</definedName>
    <definedName name="SG_08_15_1" localSheetId="7">#REF!</definedName>
    <definedName name="SG_08_15_1" localSheetId="3">#REF!</definedName>
    <definedName name="SG_08_15_1" localSheetId="11">#REF!</definedName>
    <definedName name="SG_08_15_1">[5]RESUMO!#REF!</definedName>
    <definedName name="SG_08_16" localSheetId="13">#REF!</definedName>
    <definedName name="SG_08_16" localSheetId="14">#REF!</definedName>
    <definedName name="SG_08_16" localSheetId="15">#REF!</definedName>
    <definedName name="SG_08_16" localSheetId="16">#REF!</definedName>
    <definedName name="SG_08_16" localSheetId="17">#REF!</definedName>
    <definedName name="SG_08_16" localSheetId="18">#REF!</definedName>
    <definedName name="SG_08_16" localSheetId="20">#REF!</definedName>
    <definedName name="SG_08_16" localSheetId="21">#REF!</definedName>
    <definedName name="SG_08_16" localSheetId="7">#REF!</definedName>
    <definedName name="SG_08_16" localSheetId="3">#REF!</definedName>
    <definedName name="SG_08_16" localSheetId="11">#REF!</definedName>
    <definedName name="SG_08_16">'[14]Planilha PROJETISTA'!#REF!</definedName>
    <definedName name="SG_08_16_1" localSheetId="13">#REF!</definedName>
    <definedName name="SG_08_16_1" localSheetId="14">#REF!</definedName>
    <definedName name="SG_08_16_1" localSheetId="15">#REF!</definedName>
    <definedName name="SG_08_16_1" localSheetId="16">#REF!</definedName>
    <definedName name="SG_08_16_1" localSheetId="17">#REF!</definedName>
    <definedName name="SG_08_16_1" localSheetId="18">#REF!</definedName>
    <definedName name="SG_08_16_1" localSheetId="20">#REF!</definedName>
    <definedName name="SG_08_16_1" localSheetId="21">#REF!</definedName>
    <definedName name="SG_08_16_1" localSheetId="7">#REF!</definedName>
    <definedName name="SG_08_16_1" localSheetId="3">#REF!</definedName>
    <definedName name="SG_08_16_1" localSheetId="11">#REF!</definedName>
    <definedName name="SG_08_16_1">[5]RESUMO!#REF!</definedName>
    <definedName name="SG_08_17" localSheetId="13">#REF!</definedName>
    <definedName name="SG_08_17" localSheetId="14">#REF!</definedName>
    <definedName name="SG_08_17" localSheetId="15">#REF!</definedName>
    <definedName name="SG_08_17" localSheetId="16">#REF!</definedName>
    <definedName name="SG_08_17" localSheetId="17">#REF!</definedName>
    <definedName name="SG_08_17" localSheetId="18">#REF!</definedName>
    <definedName name="SG_08_17" localSheetId="20">#REF!</definedName>
    <definedName name="SG_08_17" localSheetId="21">#REF!</definedName>
    <definedName name="SG_08_17" localSheetId="7">#REF!</definedName>
    <definedName name="SG_08_17" localSheetId="3">#REF!</definedName>
    <definedName name="SG_08_17" localSheetId="11">#REF!</definedName>
    <definedName name="SG_08_17">'[14]Planilha PROJETISTA'!#REF!</definedName>
    <definedName name="SG_08_17_1" localSheetId="13">#REF!</definedName>
    <definedName name="SG_08_17_1" localSheetId="14">#REF!</definedName>
    <definedName name="SG_08_17_1" localSheetId="15">#REF!</definedName>
    <definedName name="SG_08_17_1" localSheetId="16">#REF!</definedName>
    <definedName name="SG_08_17_1" localSheetId="17">#REF!</definedName>
    <definedName name="SG_08_17_1" localSheetId="18">#REF!</definedName>
    <definedName name="SG_08_17_1" localSheetId="20">#REF!</definedName>
    <definedName name="SG_08_17_1" localSheetId="21">#REF!</definedName>
    <definedName name="SG_08_17_1" localSheetId="7">#REF!</definedName>
    <definedName name="SG_08_17_1" localSheetId="3">#REF!</definedName>
    <definedName name="SG_08_17_1" localSheetId="11">#REF!</definedName>
    <definedName name="SG_08_17_1">[5]RESUMO!#REF!</definedName>
    <definedName name="SG_08_18" localSheetId="13">#REF!</definedName>
    <definedName name="SG_08_18" localSheetId="14">#REF!</definedName>
    <definedName name="SG_08_18" localSheetId="15">#REF!</definedName>
    <definedName name="SG_08_18" localSheetId="16">#REF!</definedName>
    <definedName name="SG_08_18" localSheetId="17">#REF!</definedName>
    <definedName name="SG_08_18" localSheetId="18">#REF!</definedName>
    <definedName name="SG_08_18" localSheetId="20">#REF!</definedName>
    <definedName name="SG_08_18" localSheetId="21">#REF!</definedName>
    <definedName name="SG_08_18" localSheetId="7">#REF!</definedName>
    <definedName name="SG_08_18" localSheetId="3">#REF!</definedName>
    <definedName name="SG_08_18" localSheetId="11">#REF!</definedName>
    <definedName name="SG_08_18">'[14]Planilha PROJETISTA'!#REF!</definedName>
    <definedName name="SG_08_18_1" localSheetId="13">#REF!</definedName>
    <definedName name="SG_08_18_1" localSheetId="14">#REF!</definedName>
    <definedName name="SG_08_18_1" localSheetId="15">#REF!</definedName>
    <definedName name="SG_08_18_1" localSheetId="16">#REF!</definedName>
    <definedName name="SG_08_18_1" localSheetId="17">#REF!</definedName>
    <definedName name="SG_08_18_1" localSheetId="18">#REF!</definedName>
    <definedName name="SG_08_18_1" localSheetId="20">#REF!</definedName>
    <definedName name="SG_08_18_1" localSheetId="21">#REF!</definedName>
    <definedName name="SG_08_18_1" localSheetId="7">#REF!</definedName>
    <definedName name="SG_08_18_1" localSheetId="3">#REF!</definedName>
    <definedName name="SG_08_18_1" localSheetId="11">#REF!</definedName>
    <definedName name="SG_08_18_1">[5]RESUMO!#REF!</definedName>
    <definedName name="SG_08_19" localSheetId="13">#REF!</definedName>
    <definedName name="SG_08_19" localSheetId="14">#REF!</definedName>
    <definedName name="SG_08_19" localSheetId="15">#REF!</definedName>
    <definedName name="SG_08_19" localSheetId="16">#REF!</definedName>
    <definedName name="SG_08_19" localSheetId="17">#REF!</definedName>
    <definedName name="SG_08_19" localSheetId="18">#REF!</definedName>
    <definedName name="SG_08_19" localSheetId="20">#REF!</definedName>
    <definedName name="SG_08_19" localSheetId="21">#REF!</definedName>
    <definedName name="SG_08_19" localSheetId="7">#REF!</definedName>
    <definedName name="SG_08_19" localSheetId="3">#REF!</definedName>
    <definedName name="SG_08_19" localSheetId="11">#REF!</definedName>
    <definedName name="SG_08_19">'[14]Planilha PROJETISTA'!#REF!</definedName>
    <definedName name="SG_08_19_1" localSheetId="13">#REF!</definedName>
    <definedName name="SG_08_19_1" localSheetId="14">#REF!</definedName>
    <definedName name="SG_08_19_1" localSheetId="15">#REF!</definedName>
    <definedName name="SG_08_19_1" localSheetId="16">#REF!</definedName>
    <definedName name="SG_08_19_1" localSheetId="17">#REF!</definedName>
    <definedName name="SG_08_19_1" localSheetId="18">#REF!</definedName>
    <definedName name="SG_08_19_1" localSheetId="20">#REF!</definedName>
    <definedName name="SG_08_19_1" localSheetId="21">#REF!</definedName>
    <definedName name="SG_08_19_1" localSheetId="7">#REF!</definedName>
    <definedName name="SG_08_19_1" localSheetId="3">#REF!</definedName>
    <definedName name="SG_08_19_1" localSheetId="11">#REF!</definedName>
    <definedName name="SG_08_19_1">[5]RESUMO!#REF!</definedName>
    <definedName name="SG_08_20" localSheetId="13">#REF!</definedName>
    <definedName name="SG_08_20" localSheetId="14">#REF!</definedName>
    <definedName name="SG_08_20" localSheetId="15">#REF!</definedName>
    <definedName name="SG_08_20" localSheetId="16">#REF!</definedName>
    <definedName name="SG_08_20" localSheetId="17">#REF!</definedName>
    <definedName name="SG_08_20" localSheetId="18">#REF!</definedName>
    <definedName name="SG_08_20" localSheetId="20">#REF!</definedName>
    <definedName name="SG_08_20" localSheetId="21">#REF!</definedName>
    <definedName name="SG_08_20" localSheetId="7">#REF!</definedName>
    <definedName name="SG_08_20" localSheetId="3">#REF!</definedName>
    <definedName name="SG_08_20" localSheetId="11">#REF!</definedName>
    <definedName name="SG_08_20">'[14]Planilha PROJETISTA'!#REF!</definedName>
    <definedName name="SG_08_20_1" localSheetId="13">#REF!</definedName>
    <definedName name="SG_08_20_1" localSheetId="14">#REF!</definedName>
    <definedName name="SG_08_20_1" localSheetId="15">#REF!</definedName>
    <definedName name="SG_08_20_1" localSheetId="16">#REF!</definedName>
    <definedName name="SG_08_20_1" localSheetId="17">#REF!</definedName>
    <definedName name="SG_08_20_1" localSheetId="18">#REF!</definedName>
    <definedName name="SG_08_20_1" localSheetId="20">#REF!</definedName>
    <definedName name="SG_08_20_1" localSheetId="21">#REF!</definedName>
    <definedName name="SG_08_20_1" localSheetId="7">#REF!</definedName>
    <definedName name="SG_08_20_1" localSheetId="3">#REF!</definedName>
    <definedName name="SG_08_20_1" localSheetId="11">#REF!</definedName>
    <definedName name="SG_08_20_1">[5]RESUMO!#REF!</definedName>
    <definedName name="SG_09_01_1" localSheetId="13">#REF!</definedName>
    <definedName name="SG_09_01_1" localSheetId="14">#REF!</definedName>
    <definedName name="SG_09_01_1" localSheetId="15">#REF!</definedName>
    <definedName name="SG_09_01_1" localSheetId="16">#REF!</definedName>
    <definedName name="SG_09_01_1" localSheetId="17">#REF!</definedName>
    <definedName name="SG_09_01_1" localSheetId="18">#REF!</definedName>
    <definedName name="SG_09_01_1" localSheetId="20">#REF!</definedName>
    <definedName name="SG_09_01_1" localSheetId="21">#REF!</definedName>
    <definedName name="SG_09_01_1" localSheetId="7">#REF!</definedName>
    <definedName name="SG_09_01_1" localSheetId="3">#REF!</definedName>
    <definedName name="SG_09_01_1" localSheetId="11">#REF!</definedName>
    <definedName name="SG_09_01_1">[5]RESUMO!#REF!</definedName>
    <definedName name="SG_09_02_1" localSheetId="13">#REF!</definedName>
    <definedName name="SG_09_02_1" localSheetId="14">#REF!</definedName>
    <definedName name="SG_09_02_1" localSheetId="15">#REF!</definedName>
    <definedName name="SG_09_02_1" localSheetId="16">#REF!</definedName>
    <definedName name="SG_09_02_1" localSheetId="17">#REF!</definedName>
    <definedName name="SG_09_02_1" localSheetId="18">#REF!</definedName>
    <definedName name="SG_09_02_1" localSheetId="20">#REF!</definedName>
    <definedName name="SG_09_02_1" localSheetId="21">#REF!</definedName>
    <definedName name="SG_09_02_1" localSheetId="7">#REF!</definedName>
    <definedName name="SG_09_02_1" localSheetId="3">#REF!</definedName>
    <definedName name="SG_09_02_1" localSheetId="11">#REF!</definedName>
    <definedName name="SG_09_02_1">[5]RESUMO!#REF!</definedName>
    <definedName name="SG_09_03" localSheetId="13">#REF!</definedName>
    <definedName name="SG_09_03" localSheetId="14">#REF!</definedName>
    <definedName name="SG_09_03" localSheetId="15">#REF!</definedName>
    <definedName name="SG_09_03" localSheetId="16">#REF!</definedName>
    <definedName name="SG_09_03" localSheetId="17">#REF!</definedName>
    <definedName name="SG_09_03" localSheetId="18">#REF!</definedName>
    <definedName name="SG_09_03" localSheetId="20">#REF!</definedName>
    <definedName name="SG_09_03" localSheetId="21">#REF!</definedName>
    <definedName name="SG_09_03" localSheetId="7">#REF!</definedName>
    <definedName name="SG_09_03" localSheetId="3">#REF!</definedName>
    <definedName name="SG_09_03" localSheetId="11">#REF!</definedName>
    <definedName name="SG_09_03">'[14]Planilha PROJETISTA'!#REF!</definedName>
    <definedName name="SG_09_03_1" localSheetId="13">#REF!</definedName>
    <definedName name="SG_09_03_1" localSheetId="14">#REF!</definedName>
    <definedName name="SG_09_03_1" localSheetId="15">#REF!</definedName>
    <definedName name="SG_09_03_1" localSheetId="16">#REF!</definedName>
    <definedName name="SG_09_03_1" localSheetId="17">#REF!</definedName>
    <definedName name="SG_09_03_1" localSheetId="18">#REF!</definedName>
    <definedName name="SG_09_03_1" localSheetId="20">#REF!</definedName>
    <definedName name="SG_09_03_1" localSheetId="21">#REF!</definedName>
    <definedName name="SG_09_03_1" localSheetId="7">#REF!</definedName>
    <definedName name="SG_09_03_1" localSheetId="3">#REF!</definedName>
    <definedName name="SG_09_03_1" localSheetId="11">#REF!</definedName>
    <definedName name="SG_09_03_1">[5]RESUMO!#REF!</definedName>
    <definedName name="SG_09_04" localSheetId="13">#REF!</definedName>
    <definedName name="SG_09_04" localSheetId="14">#REF!</definedName>
    <definedName name="SG_09_04" localSheetId="15">#REF!</definedName>
    <definedName name="SG_09_04" localSheetId="16">#REF!</definedName>
    <definedName name="SG_09_04" localSheetId="17">#REF!</definedName>
    <definedName name="SG_09_04" localSheetId="18">#REF!</definedName>
    <definedName name="SG_09_04" localSheetId="20">#REF!</definedName>
    <definedName name="SG_09_04" localSheetId="21">#REF!</definedName>
    <definedName name="SG_09_04" localSheetId="7">#REF!</definedName>
    <definedName name="SG_09_04" localSheetId="3">#REF!</definedName>
    <definedName name="SG_09_04" localSheetId="11">#REF!</definedName>
    <definedName name="SG_09_04">'[14]Planilha PROJETISTA'!#REF!</definedName>
    <definedName name="SG_09_04_1" localSheetId="13">#REF!</definedName>
    <definedName name="SG_09_04_1" localSheetId="14">#REF!</definedName>
    <definedName name="SG_09_04_1" localSheetId="15">#REF!</definedName>
    <definedName name="SG_09_04_1" localSheetId="16">#REF!</definedName>
    <definedName name="SG_09_04_1" localSheetId="17">#REF!</definedName>
    <definedName name="SG_09_04_1" localSheetId="18">#REF!</definedName>
    <definedName name="SG_09_04_1" localSheetId="20">#REF!</definedName>
    <definedName name="SG_09_04_1" localSheetId="21">#REF!</definedName>
    <definedName name="SG_09_04_1" localSheetId="7">#REF!</definedName>
    <definedName name="SG_09_04_1" localSheetId="3">#REF!</definedName>
    <definedName name="SG_09_04_1" localSheetId="11">#REF!</definedName>
    <definedName name="SG_09_04_1">[5]RESUMO!#REF!</definedName>
    <definedName name="SG_09_05" localSheetId="13">#REF!</definedName>
    <definedName name="SG_09_05" localSheetId="14">#REF!</definedName>
    <definedName name="SG_09_05" localSheetId="15">#REF!</definedName>
    <definedName name="SG_09_05" localSheetId="16">#REF!</definedName>
    <definedName name="SG_09_05" localSheetId="17">#REF!</definedName>
    <definedName name="SG_09_05" localSheetId="18">#REF!</definedName>
    <definedName name="SG_09_05" localSheetId="20">#REF!</definedName>
    <definedName name="SG_09_05" localSheetId="21">#REF!</definedName>
    <definedName name="SG_09_05" localSheetId="7">#REF!</definedName>
    <definedName name="SG_09_05" localSheetId="3">#REF!</definedName>
    <definedName name="SG_09_05" localSheetId="11">#REF!</definedName>
    <definedName name="SG_09_05">'[14]Planilha PROJETISTA'!#REF!</definedName>
    <definedName name="SG_09_05_1" localSheetId="13">#REF!</definedName>
    <definedName name="SG_09_05_1" localSheetId="14">#REF!</definedName>
    <definedName name="SG_09_05_1" localSheetId="15">#REF!</definedName>
    <definedName name="SG_09_05_1" localSheetId="16">#REF!</definedName>
    <definedName name="SG_09_05_1" localSheetId="17">#REF!</definedName>
    <definedName name="SG_09_05_1" localSheetId="18">#REF!</definedName>
    <definedName name="SG_09_05_1" localSheetId="20">#REF!</definedName>
    <definedName name="SG_09_05_1" localSheetId="21">#REF!</definedName>
    <definedName name="SG_09_05_1" localSheetId="7">#REF!</definedName>
    <definedName name="SG_09_05_1" localSheetId="3">#REF!</definedName>
    <definedName name="SG_09_05_1" localSheetId="11">#REF!</definedName>
    <definedName name="SG_09_05_1">[5]RESUMO!#REF!</definedName>
    <definedName name="SG_09_06" localSheetId="13">#REF!</definedName>
    <definedName name="SG_09_06" localSheetId="14">#REF!</definedName>
    <definedName name="SG_09_06" localSheetId="15">#REF!</definedName>
    <definedName name="SG_09_06" localSheetId="16">#REF!</definedName>
    <definedName name="SG_09_06" localSheetId="17">#REF!</definedName>
    <definedName name="SG_09_06" localSheetId="18">#REF!</definedName>
    <definedName name="SG_09_06" localSheetId="20">#REF!</definedName>
    <definedName name="SG_09_06" localSheetId="21">#REF!</definedName>
    <definedName name="SG_09_06" localSheetId="7">#REF!</definedName>
    <definedName name="SG_09_06" localSheetId="3">#REF!</definedName>
    <definedName name="SG_09_06" localSheetId="11">#REF!</definedName>
    <definedName name="SG_09_06">'[14]Planilha PROJETISTA'!#REF!</definedName>
    <definedName name="SG_09_06_1" localSheetId="13">#REF!</definedName>
    <definedName name="SG_09_06_1" localSheetId="14">#REF!</definedName>
    <definedName name="SG_09_06_1" localSheetId="15">#REF!</definedName>
    <definedName name="SG_09_06_1" localSheetId="16">#REF!</definedName>
    <definedName name="SG_09_06_1" localSheetId="17">#REF!</definedName>
    <definedName name="SG_09_06_1" localSheetId="18">#REF!</definedName>
    <definedName name="SG_09_06_1" localSheetId="20">#REF!</definedName>
    <definedName name="SG_09_06_1" localSheetId="21">#REF!</definedName>
    <definedName name="SG_09_06_1" localSheetId="7">#REF!</definedName>
    <definedName name="SG_09_06_1" localSheetId="3">#REF!</definedName>
    <definedName name="SG_09_06_1" localSheetId="11">#REF!</definedName>
    <definedName name="SG_09_06_1">[5]RESUMO!#REF!</definedName>
    <definedName name="SG_09_07" localSheetId="13">#REF!</definedName>
    <definedName name="SG_09_07" localSheetId="14">#REF!</definedName>
    <definedName name="SG_09_07" localSheetId="15">#REF!</definedName>
    <definedName name="SG_09_07" localSheetId="16">#REF!</definedName>
    <definedName name="SG_09_07" localSheetId="17">#REF!</definedName>
    <definedName name="SG_09_07" localSheetId="18">#REF!</definedName>
    <definedName name="SG_09_07" localSheetId="20">#REF!</definedName>
    <definedName name="SG_09_07" localSheetId="21">#REF!</definedName>
    <definedName name="SG_09_07" localSheetId="7">#REF!</definedName>
    <definedName name="SG_09_07" localSheetId="3">#REF!</definedName>
    <definedName name="SG_09_07" localSheetId="11">#REF!</definedName>
    <definedName name="SG_09_07">'[14]Planilha PROJETISTA'!#REF!</definedName>
    <definedName name="SG_09_07_1" localSheetId="13">#REF!</definedName>
    <definedName name="SG_09_07_1" localSheetId="14">#REF!</definedName>
    <definedName name="SG_09_07_1" localSheetId="15">#REF!</definedName>
    <definedName name="SG_09_07_1" localSheetId="16">#REF!</definedName>
    <definedName name="SG_09_07_1" localSheetId="17">#REF!</definedName>
    <definedName name="SG_09_07_1" localSheetId="18">#REF!</definedName>
    <definedName name="SG_09_07_1" localSheetId="20">#REF!</definedName>
    <definedName name="SG_09_07_1" localSheetId="21">#REF!</definedName>
    <definedName name="SG_09_07_1" localSheetId="7">#REF!</definedName>
    <definedName name="SG_09_07_1" localSheetId="3">#REF!</definedName>
    <definedName name="SG_09_07_1" localSheetId="11">#REF!</definedName>
    <definedName name="SG_09_07_1">[5]RESUMO!#REF!</definedName>
    <definedName name="SG_09_08" localSheetId="13">#REF!</definedName>
    <definedName name="SG_09_08" localSheetId="14">#REF!</definedName>
    <definedName name="SG_09_08" localSheetId="15">#REF!</definedName>
    <definedName name="SG_09_08" localSheetId="16">#REF!</definedName>
    <definedName name="SG_09_08" localSheetId="17">#REF!</definedName>
    <definedName name="SG_09_08" localSheetId="18">#REF!</definedName>
    <definedName name="SG_09_08" localSheetId="20">#REF!</definedName>
    <definedName name="SG_09_08" localSheetId="21">#REF!</definedName>
    <definedName name="SG_09_08" localSheetId="7">#REF!</definedName>
    <definedName name="SG_09_08" localSheetId="3">#REF!</definedName>
    <definedName name="SG_09_08" localSheetId="11">#REF!</definedName>
    <definedName name="SG_09_08">'[14]Planilha PROJETISTA'!#REF!</definedName>
    <definedName name="SG_09_08_1" localSheetId="13">#REF!</definedName>
    <definedName name="SG_09_08_1" localSheetId="14">#REF!</definedName>
    <definedName name="SG_09_08_1" localSheetId="15">#REF!</definedName>
    <definedName name="SG_09_08_1" localSheetId="16">#REF!</definedName>
    <definedName name="SG_09_08_1" localSheetId="17">#REF!</definedName>
    <definedName name="SG_09_08_1" localSheetId="18">#REF!</definedName>
    <definedName name="SG_09_08_1" localSheetId="20">#REF!</definedName>
    <definedName name="SG_09_08_1" localSheetId="21">#REF!</definedName>
    <definedName name="SG_09_08_1" localSheetId="7">#REF!</definedName>
    <definedName name="SG_09_08_1" localSheetId="3">#REF!</definedName>
    <definedName name="SG_09_08_1" localSheetId="11">#REF!</definedName>
    <definedName name="SG_09_08_1">[5]RESUMO!#REF!</definedName>
    <definedName name="SG_09_09" localSheetId="13">#REF!</definedName>
    <definedName name="SG_09_09" localSheetId="14">#REF!</definedName>
    <definedName name="SG_09_09" localSheetId="15">#REF!</definedName>
    <definedName name="SG_09_09" localSheetId="16">#REF!</definedName>
    <definedName name="SG_09_09" localSheetId="17">#REF!</definedName>
    <definedName name="SG_09_09" localSheetId="18">#REF!</definedName>
    <definedName name="SG_09_09" localSheetId="20">#REF!</definedName>
    <definedName name="SG_09_09" localSheetId="21">#REF!</definedName>
    <definedName name="SG_09_09" localSheetId="7">#REF!</definedName>
    <definedName name="SG_09_09" localSheetId="3">#REF!</definedName>
    <definedName name="SG_09_09" localSheetId="11">#REF!</definedName>
    <definedName name="SG_09_09">'[14]Planilha PROJETISTA'!#REF!</definedName>
    <definedName name="SG_09_09_1" localSheetId="13">#REF!</definedName>
    <definedName name="SG_09_09_1" localSheetId="14">#REF!</definedName>
    <definedName name="SG_09_09_1" localSheetId="15">#REF!</definedName>
    <definedName name="SG_09_09_1" localSheetId="16">#REF!</definedName>
    <definedName name="SG_09_09_1" localSheetId="17">#REF!</definedName>
    <definedName name="SG_09_09_1" localSheetId="18">#REF!</definedName>
    <definedName name="SG_09_09_1" localSheetId="20">#REF!</definedName>
    <definedName name="SG_09_09_1" localSheetId="21">#REF!</definedName>
    <definedName name="SG_09_09_1" localSheetId="7">#REF!</definedName>
    <definedName name="SG_09_09_1" localSheetId="3">#REF!</definedName>
    <definedName name="SG_09_09_1" localSheetId="11">#REF!</definedName>
    <definedName name="SG_09_09_1">[5]RESUMO!#REF!</definedName>
    <definedName name="SG_09_10" localSheetId="13">#REF!</definedName>
    <definedName name="SG_09_10" localSheetId="14">#REF!</definedName>
    <definedName name="SG_09_10" localSheetId="15">#REF!</definedName>
    <definedName name="SG_09_10" localSheetId="16">#REF!</definedName>
    <definedName name="SG_09_10" localSheetId="17">#REF!</definedName>
    <definedName name="SG_09_10" localSheetId="18">#REF!</definedName>
    <definedName name="SG_09_10" localSheetId="20">#REF!</definedName>
    <definedName name="SG_09_10" localSheetId="21">#REF!</definedName>
    <definedName name="SG_09_10" localSheetId="7">#REF!</definedName>
    <definedName name="SG_09_10" localSheetId="3">#REF!</definedName>
    <definedName name="SG_09_10" localSheetId="11">#REF!</definedName>
    <definedName name="SG_09_10">'[14]Planilha PROJETISTA'!#REF!</definedName>
    <definedName name="SG_09_10_1" localSheetId="13">#REF!</definedName>
    <definedName name="SG_09_10_1" localSheetId="14">#REF!</definedName>
    <definedName name="SG_09_10_1" localSheetId="15">#REF!</definedName>
    <definedName name="SG_09_10_1" localSheetId="16">#REF!</definedName>
    <definedName name="SG_09_10_1" localSheetId="17">#REF!</definedName>
    <definedName name="SG_09_10_1" localSheetId="18">#REF!</definedName>
    <definedName name="SG_09_10_1" localSheetId="20">#REF!</definedName>
    <definedName name="SG_09_10_1" localSheetId="21">#REF!</definedName>
    <definedName name="SG_09_10_1" localSheetId="7">#REF!</definedName>
    <definedName name="SG_09_10_1" localSheetId="3">#REF!</definedName>
    <definedName name="SG_09_10_1" localSheetId="11">#REF!</definedName>
    <definedName name="SG_09_10_1">[5]RESUMO!#REF!</definedName>
    <definedName name="SG_09_11" localSheetId="13">#REF!</definedName>
    <definedName name="SG_09_11" localSheetId="14">#REF!</definedName>
    <definedName name="SG_09_11" localSheetId="15">#REF!</definedName>
    <definedName name="SG_09_11" localSheetId="16">#REF!</definedName>
    <definedName name="SG_09_11" localSheetId="17">#REF!</definedName>
    <definedName name="SG_09_11" localSheetId="18">#REF!</definedName>
    <definedName name="SG_09_11" localSheetId="20">#REF!</definedName>
    <definedName name="SG_09_11" localSheetId="21">#REF!</definedName>
    <definedName name="SG_09_11" localSheetId="7">#REF!</definedName>
    <definedName name="SG_09_11" localSheetId="3">#REF!</definedName>
    <definedName name="SG_09_11" localSheetId="11">#REF!</definedName>
    <definedName name="SG_09_11">'[14]Planilha PROJETISTA'!#REF!</definedName>
    <definedName name="SG_09_11_1" localSheetId="13">#REF!</definedName>
    <definedName name="SG_09_11_1" localSheetId="14">#REF!</definedName>
    <definedName name="SG_09_11_1" localSheetId="15">#REF!</definedName>
    <definedName name="SG_09_11_1" localSheetId="16">#REF!</definedName>
    <definedName name="SG_09_11_1" localSheetId="17">#REF!</definedName>
    <definedName name="SG_09_11_1" localSheetId="18">#REF!</definedName>
    <definedName name="SG_09_11_1" localSheetId="20">#REF!</definedName>
    <definedName name="SG_09_11_1" localSheetId="21">#REF!</definedName>
    <definedName name="SG_09_11_1" localSheetId="7">#REF!</definedName>
    <definedName name="SG_09_11_1" localSheetId="3">#REF!</definedName>
    <definedName name="SG_09_11_1" localSheetId="11">#REF!</definedName>
    <definedName name="SG_09_11_1">[5]RESUMO!#REF!</definedName>
    <definedName name="SG_09_12" localSheetId="13">#REF!</definedName>
    <definedName name="SG_09_12" localSheetId="14">#REF!</definedName>
    <definedName name="SG_09_12" localSheetId="15">#REF!</definedName>
    <definedName name="SG_09_12" localSheetId="16">#REF!</definedName>
    <definedName name="SG_09_12" localSheetId="17">#REF!</definedName>
    <definedName name="SG_09_12" localSheetId="18">#REF!</definedName>
    <definedName name="SG_09_12" localSheetId="20">#REF!</definedName>
    <definedName name="SG_09_12" localSheetId="21">#REF!</definedName>
    <definedName name="SG_09_12" localSheetId="7">#REF!</definedName>
    <definedName name="SG_09_12" localSheetId="3">#REF!</definedName>
    <definedName name="SG_09_12" localSheetId="11">#REF!</definedName>
    <definedName name="SG_09_12">'[14]Planilha PROJETISTA'!#REF!</definedName>
    <definedName name="SG_09_12_1" localSheetId="13">#REF!</definedName>
    <definedName name="SG_09_12_1" localSheetId="14">#REF!</definedName>
    <definedName name="SG_09_12_1" localSheetId="15">#REF!</definedName>
    <definedName name="SG_09_12_1" localSheetId="16">#REF!</definedName>
    <definedName name="SG_09_12_1" localSheetId="17">#REF!</definedName>
    <definedName name="SG_09_12_1" localSheetId="18">#REF!</definedName>
    <definedName name="SG_09_12_1" localSheetId="20">#REF!</definedName>
    <definedName name="SG_09_12_1" localSheetId="21">#REF!</definedName>
    <definedName name="SG_09_12_1" localSheetId="7">#REF!</definedName>
    <definedName name="SG_09_12_1" localSheetId="3">#REF!</definedName>
    <definedName name="SG_09_12_1" localSheetId="11">#REF!</definedName>
    <definedName name="SG_09_12_1">[5]RESUMO!#REF!</definedName>
    <definedName name="SG_09_13" localSheetId="13">#REF!</definedName>
    <definedName name="SG_09_13" localSheetId="14">#REF!</definedName>
    <definedName name="SG_09_13" localSheetId="15">#REF!</definedName>
    <definedName name="SG_09_13" localSheetId="16">#REF!</definedName>
    <definedName name="SG_09_13" localSheetId="17">#REF!</definedName>
    <definedName name="SG_09_13" localSheetId="18">#REF!</definedName>
    <definedName name="SG_09_13" localSheetId="20">#REF!</definedName>
    <definedName name="SG_09_13" localSheetId="21">#REF!</definedName>
    <definedName name="SG_09_13" localSheetId="7">#REF!</definedName>
    <definedName name="SG_09_13" localSheetId="3">#REF!</definedName>
    <definedName name="SG_09_13" localSheetId="11">#REF!</definedName>
    <definedName name="SG_09_13">'[14]Planilha PROJETISTA'!#REF!</definedName>
    <definedName name="SG_09_13_1" localSheetId="13">#REF!</definedName>
    <definedName name="SG_09_13_1" localSheetId="14">#REF!</definedName>
    <definedName name="SG_09_13_1" localSheetId="15">#REF!</definedName>
    <definedName name="SG_09_13_1" localSheetId="16">#REF!</definedName>
    <definedName name="SG_09_13_1" localSheetId="17">#REF!</definedName>
    <definedName name="SG_09_13_1" localSheetId="18">#REF!</definedName>
    <definedName name="SG_09_13_1" localSheetId="20">#REF!</definedName>
    <definedName name="SG_09_13_1" localSheetId="21">#REF!</definedName>
    <definedName name="SG_09_13_1" localSheetId="7">#REF!</definedName>
    <definedName name="SG_09_13_1" localSheetId="3">#REF!</definedName>
    <definedName name="SG_09_13_1" localSheetId="11">#REF!</definedName>
    <definedName name="SG_09_13_1">[5]RESUMO!#REF!</definedName>
    <definedName name="SG_09_14" localSheetId="13">#REF!</definedName>
    <definedName name="SG_09_14" localSheetId="14">#REF!</definedName>
    <definedName name="SG_09_14" localSheetId="15">#REF!</definedName>
    <definedName name="SG_09_14" localSheetId="16">#REF!</definedName>
    <definedName name="SG_09_14" localSheetId="17">#REF!</definedName>
    <definedName name="SG_09_14" localSheetId="18">#REF!</definedName>
    <definedName name="SG_09_14" localSheetId="20">#REF!</definedName>
    <definedName name="SG_09_14" localSheetId="21">#REF!</definedName>
    <definedName name="SG_09_14" localSheetId="7">#REF!</definedName>
    <definedName name="SG_09_14" localSheetId="3">#REF!</definedName>
    <definedName name="SG_09_14" localSheetId="11">#REF!</definedName>
    <definedName name="SG_09_14">'[14]Planilha PROJETISTA'!#REF!</definedName>
    <definedName name="SG_09_14_1" localSheetId="13">#REF!</definedName>
    <definedName name="SG_09_14_1" localSheetId="14">#REF!</definedName>
    <definedName name="SG_09_14_1" localSheetId="15">#REF!</definedName>
    <definedName name="SG_09_14_1" localSheetId="16">#REF!</definedName>
    <definedName name="SG_09_14_1" localSheetId="17">#REF!</definedName>
    <definedName name="SG_09_14_1" localSheetId="18">#REF!</definedName>
    <definedName name="SG_09_14_1" localSheetId="20">#REF!</definedName>
    <definedName name="SG_09_14_1" localSheetId="21">#REF!</definedName>
    <definedName name="SG_09_14_1" localSheetId="7">#REF!</definedName>
    <definedName name="SG_09_14_1" localSheetId="3">#REF!</definedName>
    <definedName name="SG_09_14_1" localSheetId="11">#REF!</definedName>
    <definedName name="SG_09_14_1">[5]RESUMO!#REF!</definedName>
    <definedName name="SG_09_15" localSheetId="13">#REF!</definedName>
    <definedName name="SG_09_15" localSheetId="14">#REF!</definedName>
    <definedName name="SG_09_15" localSheetId="15">#REF!</definedName>
    <definedName name="SG_09_15" localSheetId="16">#REF!</definedName>
    <definedName name="SG_09_15" localSheetId="17">#REF!</definedName>
    <definedName name="SG_09_15" localSheetId="18">#REF!</definedName>
    <definedName name="SG_09_15" localSheetId="20">#REF!</definedName>
    <definedName name="SG_09_15" localSheetId="21">#REF!</definedName>
    <definedName name="SG_09_15" localSheetId="7">#REF!</definedName>
    <definedName name="SG_09_15" localSheetId="3">#REF!</definedName>
    <definedName name="SG_09_15" localSheetId="11">#REF!</definedName>
    <definedName name="SG_09_15">'[14]Planilha PROJETISTA'!#REF!</definedName>
    <definedName name="SG_09_15_1" localSheetId="13">#REF!</definedName>
    <definedName name="SG_09_15_1" localSheetId="14">#REF!</definedName>
    <definedName name="SG_09_15_1" localSheetId="15">#REF!</definedName>
    <definedName name="SG_09_15_1" localSheetId="16">#REF!</definedName>
    <definedName name="SG_09_15_1" localSheetId="17">#REF!</definedName>
    <definedName name="SG_09_15_1" localSheetId="18">#REF!</definedName>
    <definedName name="SG_09_15_1" localSheetId="20">#REF!</definedName>
    <definedName name="SG_09_15_1" localSheetId="21">#REF!</definedName>
    <definedName name="SG_09_15_1" localSheetId="7">#REF!</definedName>
    <definedName name="SG_09_15_1" localSheetId="3">#REF!</definedName>
    <definedName name="SG_09_15_1" localSheetId="11">#REF!</definedName>
    <definedName name="SG_09_15_1">[5]RESUMO!#REF!</definedName>
    <definedName name="SG_09_16" localSheetId="13">#REF!</definedName>
    <definedName name="SG_09_16" localSheetId="14">#REF!</definedName>
    <definedName name="SG_09_16" localSheetId="15">#REF!</definedName>
    <definedName name="SG_09_16" localSheetId="16">#REF!</definedName>
    <definedName name="SG_09_16" localSheetId="17">#REF!</definedName>
    <definedName name="SG_09_16" localSheetId="18">#REF!</definedName>
    <definedName name="SG_09_16" localSheetId="20">#REF!</definedName>
    <definedName name="SG_09_16" localSheetId="21">#REF!</definedName>
    <definedName name="SG_09_16" localSheetId="7">#REF!</definedName>
    <definedName name="SG_09_16" localSheetId="3">#REF!</definedName>
    <definedName name="SG_09_16" localSheetId="11">#REF!</definedName>
    <definedName name="SG_09_16">'[14]Planilha PROJETISTA'!#REF!</definedName>
    <definedName name="SG_09_16_1" localSheetId="13">#REF!</definedName>
    <definedName name="SG_09_16_1" localSheetId="14">#REF!</definedName>
    <definedName name="SG_09_16_1" localSheetId="15">#REF!</definedName>
    <definedName name="SG_09_16_1" localSheetId="16">#REF!</definedName>
    <definedName name="SG_09_16_1" localSheetId="17">#REF!</definedName>
    <definedName name="SG_09_16_1" localSheetId="18">#REF!</definedName>
    <definedName name="SG_09_16_1" localSheetId="20">#REF!</definedName>
    <definedName name="SG_09_16_1" localSheetId="21">#REF!</definedName>
    <definedName name="SG_09_16_1" localSheetId="7">#REF!</definedName>
    <definedName name="SG_09_16_1" localSheetId="3">#REF!</definedName>
    <definedName name="SG_09_16_1" localSheetId="11">#REF!</definedName>
    <definedName name="SG_09_16_1">[5]RESUMO!#REF!</definedName>
    <definedName name="SG_09_17" localSheetId="13">#REF!</definedName>
    <definedName name="SG_09_17" localSheetId="14">#REF!</definedName>
    <definedName name="SG_09_17" localSheetId="15">#REF!</definedName>
    <definedName name="SG_09_17" localSheetId="16">#REF!</definedName>
    <definedName name="SG_09_17" localSheetId="17">#REF!</definedName>
    <definedName name="SG_09_17" localSheetId="18">#REF!</definedName>
    <definedName name="SG_09_17" localSheetId="20">#REF!</definedName>
    <definedName name="SG_09_17" localSheetId="21">#REF!</definedName>
    <definedName name="SG_09_17" localSheetId="7">#REF!</definedName>
    <definedName name="SG_09_17" localSheetId="3">#REF!</definedName>
    <definedName name="SG_09_17" localSheetId="11">#REF!</definedName>
    <definedName name="SG_09_17">'[14]Planilha PROJETISTA'!#REF!</definedName>
    <definedName name="SG_09_17_1" localSheetId="13">#REF!</definedName>
    <definedName name="SG_09_17_1" localSheetId="14">#REF!</definedName>
    <definedName name="SG_09_17_1" localSheetId="15">#REF!</definedName>
    <definedName name="SG_09_17_1" localSheetId="16">#REF!</definedName>
    <definedName name="SG_09_17_1" localSheetId="17">#REF!</definedName>
    <definedName name="SG_09_17_1" localSheetId="18">#REF!</definedName>
    <definedName name="SG_09_17_1" localSheetId="20">#REF!</definedName>
    <definedName name="SG_09_17_1" localSheetId="21">#REF!</definedName>
    <definedName name="SG_09_17_1" localSheetId="7">#REF!</definedName>
    <definedName name="SG_09_17_1" localSheetId="3">#REF!</definedName>
    <definedName name="SG_09_17_1" localSheetId="11">#REF!</definedName>
    <definedName name="SG_09_17_1">[5]RESUMO!#REF!</definedName>
    <definedName name="SG_09_18" localSheetId="13">#REF!</definedName>
    <definedName name="SG_09_18" localSheetId="14">#REF!</definedName>
    <definedName name="SG_09_18" localSheetId="15">#REF!</definedName>
    <definedName name="SG_09_18" localSheetId="16">#REF!</definedName>
    <definedName name="SG_09_18" localSheetId="17">#REF!</definedName>
    <definedName name="SG_09_18" localSheetId="18">#REF!</definedName>
    <definedName name="SG_09_18" localSheetId="20">#REF!</definedName>
    <definedName name="SG_09_18" localSheetId="21">#REF!</definedName>
    <definedName name="SG_09_18" localSheetId="7">#REF!</definedName>
    <definedName name="SG_09_18" localSheetId="3">#REF!</definedName>
    <definedName name="SG_09_18" localSheetId="11">#REF!</definedName>
    <definedName name="SG_09_18">'[14]Planilha PROJETISTA'!#REF!</definedName>
    <definedName name="SG_09_18_1" localSheetId="13">#REF!</definedName>
    <definedName name="SG_09_18_1" localSheetId="14">#REF!</definedName>
    <definedName name="SG_09_18_1" localSheetId="15">#REF!</definedName>
    <definedName name="SG_09_18_1" localSheetId="16">#REF!</definedName>
    <definedName name="SG_09_18_1" localSheetId="17">#REF!</definedName>
    <definedName name="SG_09_18_1" localSheetId="18">#REF!</definedName>
    <definedName name="SG_09_18_1" localSheetId="20">#REF!</definedName>
    <definedName name="SG_09_18_1" localSheetId="21">#REF!</definedName>
    <definedName name="SG_09_18_1" localSheetId="7">#REF!</definedName>
    <definedName name="SG_09_18_1" localSheetId="3">#REF!</definedName>
    <definedName name="SG_09_18_1" localSheetId="11">#REF!</definedName>
    <definedName name="SG_09_18_1">[5]RESUMO!#REF!</definedName>
    <definedName name="SG_09_19" localSheetId="13">#REF!</definedName>
    <definedName name="SG_09_19" localSheetId="14">#REF!</definedName>
    <definedName name="SG_09_19" localSheetId="15">#REF!</definedName>
    <definedName name="SG_09_19" localSheetId="16">#REF!</definedName>
    <definedName name="SG_09_19" localSheetId="17">#REF!</definedName>
    <definedName name="SG_09_19" localSheetId="18">#REF!</definedName>
    <definedName name="SG_09_19" localSheetId="20">#REF!</definedName>
    <definedName name="SG_09_19" localSheetId="21">#REF!</definedName>
    <definedName name="SG_09_19" localSheetId="7">#REF!</definedName>
    <definedName name="SG_09_19" localSheetId="3">#REF!</definedName>
    <definedName name="SG_09_19" localSheetId="11">#REF!</definedName>
    <definedName name="SG_09_19">'[14]Planilha PROJETISTA'!#REF!</definedName>
    <definedName name="SG_09_19_1" localSheetId="13">#REF!</definedName>
    <definedName name="SG_09_19_1" localSheetId="14">#REF!</definedName>
    <definedName name="SG_09_19_1" localSheetId="15">#REF!</definedName>
    <definedName name="SG_09_19_1" localSheetId="16">#REF!</definedName>
    <definedName name="SG_09_19_1" localSheetId="17">#REF!</definedName>
    <definedName name="SG_09_19_1" localSheetId="18">#REF!</definedName>
    <definedName name="SG_09_19_1" localSheetId="20">#REF!</definedName>
    <definedName name="SG_09_19_1" localSheetId="21">#REF!</definedName>
    <definedName name="SG_09_19_1" localSheetId="7">#REF!</definedName>
    <definedName name="SG_09_19_1" localSheetId="3">#REF!</definedName>
    <definedName name="SG_09_19_1" localSheetId="11">#REF!</definedName>
    <definedName name="SG_09_19_1">[5]RESUMO!#REF!</definedName>
    <definedName name="SG_09_20" localSheetId="13">#REF!</definedName>
    <definedName name="SG_09_20" localSheetId="14">#REF!</definedName>
    <definedName name="SG_09_20" localSheetId="15">#REF!</definedName>
    <definedName name="SG_09_20" localSheetId="16">#REF!</definedName>
    <definedName name="SG_09_20" localSheetId="17">#REF!</definedName>
    <definedName name="SG_09_20" localSheetId="18">#REF!</definedName>
    <definedName name="SG_09_20" localSheetId="20">#REF!</definedName>
    <definedName name="SG_09_20" localSheetId="21">#REF!</definedName>
    <definedName name="SG_09_20" localSheetId="7">#REF!</definedName>
    <definedName name="SG_09_20" localSheetId="3">#REF!</definedName>
    <definedName name="SG_09_20" localSheetId="11">#REF!</definedName>
    <definedName name="SG_09_20">'[14]Planilha PROJETISTA'!#REF!</definedName>
    <definedName name="SG_09_20_1" localSheetId="13">#REF!</definedName>
    <definedName name="SG_09_20_1" localSheetId="14">#REF!</definedName>
    <definedName name="SG_09_20_1" localSheetId="15">#REF!</definedName>
    <definedName name="SG_09_20_1" localSheetId="16">#REF!</definedName>
    <definedName name="SG_09_20_1" localSheetId="17">#REF!</definedName>
    <definedName name="SG_09_20_1" localSheetId="18">#REF!</definedName>
    <definedName name="SG_09_20_1" localSheetId="20">#REF!</definedName>
    <definedName name="SG_09_20_1" localSheetId="21">#REF!</definedName>
    <definedName name="SG_09_20_1" localSheetId="7">#REF!</definedName>
    <definedName name="SG_09_20_1" localSheetId="3">#REF!</definedName>
    <definedName name="SG_09_20_1" localSheetId="11">#REF!</definedName>
    <definedName name="SG_09_20_1">[5]RESUMO!#REF!</definedName>
    <definedName name="SG_10_01_1" localSheetId="13">#REF!</definedName>
    <definedName name="SG_10_01_1" localSheetId="14">#REF!</definedName>
    <definedName name="SG_10_01_1" localSheetId="15">#REF!</definedName>
    <definedName name="SG_10_01_1" localSheetId="16">#REF!</definedName>
    <definedName name="SG_10_01_1" localSheetId="17">#REF!</definedName>
    <definedName name="SG_10_01_1" localSheetId="18">#REF!</definedName>
    <definedName name="SG_10_01_1" localSheetId="20">#REF!</definedName>
    <definedName name="SG_10_01_1" localSheetId="21">#REF!</definedName>
    <definedName name="SG_10_01_1" localSheetId="7">#REF!</definedName>
    <definedName name="SG_10_01_1" localSheetId="3">#REF!</definedName>
    <definedName name="SG_10_01_1" localSheetId="11">#REF!</definedName>
    <definedName name="SG_10_01_1">[5]RESUMO!#REF!</definedName>
    <definedName name="SG_10_02" localSheetId="13">#REF!</definedName>
    <definedName name="SG_10_02" localSheetId="14">#REF!</definedName>
    <definedName name="SG_10_02" localSheetId="15">#REF!</definedName>
    <definedName name="SG_10_02" localSheetId="16">#REF!</definedName>
    <definedName name="SG_10_02" localSheetId="17">#REF!</definedName>
    <definedName name="SG_10_02" localSheetId="18">#REF!</definedName>
    <definedName name="SG_10_02" localSheetId="20">#REF!</definedName>
    <definedName name="SG_10_02" localSheetId="21">#REF!</definedName>
    <definedName name="SG_10_02" localSheetId="7">#REF!</definedName>
    <definedName name="SG_10_02" localSheetId="3">#REF!</definedName>
    <definedName name="SG_10_02" localSheetId="11">#REF!</definedName>
    <definedName name="SG_10_02">'[14]Planilha PROJETISTA'!#REF!</definedName>
    <definedName name="SG_10_02_1" localSheetId="13">#REF!</definedName>
    <definedName name="SG_10_02_1" localSheetId="14">#REF!</definedName>
    <definedName name="SG_10_02_1" localSheetId="15">#REF!</definedName>
    <definedName name="SG_10_02_1" localSheetId="16">#REF!</definedName>
    <definedName name="SG_10_02_1" localSheetId="17">#REF!</definedName>
    <definedName name="SG_10_02_1" localSheetId="18">#REF!</definedName>
    <definedName name="SG_10_02_1" localSheetId="20">#REF!</definedName>
    <definedName name="SG_10_02_1" localSheetId="21">#REF!</definedName>
    <definedName name="SG_10_02_1" localSheetId="7">#REF!</definedName>
    <definedName name="SG_10_02_1" localSheetId="3">#REF!</definedName>
    <definedName name="SG_10_02_1" localSheetId="11">#REF!</definedName>
    <definedName name="SG_10_02_1">[5]RESUMO!#REF!</definedName>
    <definedName name="SG_10_03" localSheetId="13">#REF!</definedName>
    <definedName name="SG_10_03" localSheetId="14">#REF!</definedName>
    <definedName name="SG_10_03" localSheetId="15">#REF!</definedName>
    <definedName name="SG_10_03" localSheetId="16">#REF!</definedName>
    <definedName name="SG_10_03" localSheetId="17">#REF!</definedName>
    <definedName name="SG_10_03" localSheetId="18">#REF!</definedName>
    <definedName name="SG_10_03" localSheetId="20">#REF!</definedName>
    <definedName name="SG_10_03" localSheetId="21">#REF!</definedName>
    <definedName name="SG_10_03" localSheetId="7">#REF!</definedName>
    <definedName name="SG_10_03" localSheetId="3">#REF!</definedName>
    <definedName name="SG_10_03" localSheetId="11">#REF!</definedName>
    <definedName name="SG_10_03">'[14]Planilha PROJETISTA'!#REF!</definedName>
    <definedName name="SG_10_03_1" localSheetId="13">#REF!</definedName>
    <definedName name="SG_10_03_1" localSheetId="14">#REF!</definedName>
    <definedName name="SG_10_03_1" localSheetId="15">#REF!</definedName>
    <definedName name="SG_10_03_1" localSheetId="16">#REF!</definedName>
    <definedName name="SG_10_03_1" localSheetId="17">#REF!</definedName>
    <definedName name="SG_10_03_1" localSheetId="18">#REF!</definedName>
    <definedName name="SG_10_03_1" localSheetId="20">#REF!</definedName>
    <definedName name="SG_10_03_1" localSheetId="21">#REF!</definedName>
    <definedName name="SG_10_03_1" localSheetId="7">#REF!</definedName>
    <definedName name="SG_10_03_1" localSheetId="3">#REF!</definedName>
    <definedName name="SG_10_03_1" localSheetId="11">#REF!</definedName>
    <definedName name="SG_10_03_1">[5]RESUMO!#REF!</definedName>
    <definedName name="SG_10_04" localSheetId="13">#REF!</definedName>
    <definedName name="SG_10_04" localSheetId="14">#REF!</definedName>
    <definedName name="SG_10_04" localSheetId="15">#REF!</definedName>
    <definedName name="SG_10_04" localSheetId="16">#REF!</definedName>
    <definedName name="SG_10_04" localSheetId="17">#REF!</definedName>
    <definedName name="SG_10_04" localSheetId="18">#REF!</definedName>
    <definedName name="SG_10_04" localSheetId="20">#REF!</definedName>
    <definedName name="SG_10_04" localSheetId="21">#REF!</definedName>
    <definedName name="SG_10_04" localSheetId="7">#REF!</definedName>
    <definedName name="SG_10_04" localSheetId="3">#REF!</definedName>
    <definedName name="SG_10_04" localSheetId="11">#REF!</definedName>
    <definedName name="SG_10_04">'[14]Planilha PROJETISTA'!#REF!</definedName>
    <definedName name="SG_10_04_1" localSheetId="13">#REF!</definedName>
    <definedName name="SG_10_04_1" localSheetId="14">#REF!</definedName>
    <definedName name="SG_10_04_1" localSheetId="15">#REF!</definedName>
    <definedName name="SG_10_04_1" localSheetId="16">#REF!</definedName>
    <definedName name="SG_10_04_1" localSheetId="17">#REF!</definedName>
    <definedName name="SG_10_04_1" localSheetId="18">#REF!</definedName>
    <definedName name="SG_10_04_1" localSheetId="20">#REF!</definedName>
    <definedName name="SG_10_04_1" localSheetId="21">#REF!</definedName>
    <definedName name="SG_10_04_1" localSheetId="7">#REF!</definedName>
    <definedName name="SG_10_04_1" localSheetId="3">#REF!</definedName>
    <definedName name="SG_10_04_1" localSheetId="11">#REF!</definedName>
    <definedName name="SG_10_04_1">[5]RESUMO!#REF!</definedName>
    <definedName name="SG_10_05" localSheetId="13">#REF!</definedName>
    <definedName name="SG_10_05" localSheetId="14">#REF!</definedName>
    <definedName name="SG_10_05" localSheetId="15">#REF!</definedName>
    <definedName name="SG_10_05" localSheetId="16">#REF!</definedName>
    <definedName name="SG_10_05" localSheetId="17">#REF!</definedName>
    <definedName name="SG_10_05" localSheetId="18">#REF!</definedName>
    <definedName name="SG_10_05" localSheetId="20">#REF!</definedName>
    <definedName name="SG_10_05" localSheetId="21">#REF!</definedName>
    <definedName name="SG_10_05" localSheetId="7">#REF!</definedName>
    <definedName name="SG_10_05" localSheetId="3">#REF!</definedName>
    <definedName name="SG_10_05" localSheetId="11">#REF!</definedName>
    <definedName name="SG_10_05">'[14]Planilha PROJETISTA'!#REF!</definedName>
    <definedName name="SG_10_05_1" localSheetId="13">#REF!</definedName>
    <definedName name="SG_10_05_1" localSheetId="14">#REF!</definedName>
    <definedName name="SG_10_05_1" localSheetId="15">#REF!</definedName>
    <definedName name="SG_10_05_1" localSheetId="16">#REF!</definedName>
    <definedName name="SG_10_05_1" localSheetId="17">#REF!</definedName>
    <definedName name="SG_10_05_1" localSheetId="18">#REF!</definedName>
    <definedName name="SG_10_05_1" localSheetId="20">#REF!</definedName>
    <definedName name="SG_10_05_1" localSheetId="21">#REF!</definedName>
    <definedName name="SG_10_05_1" localSheetId="7">#REF!</definedName>
    <definedName name="SG_10_05_1" localSheetId="3">#REF!</definedName>
    <definedName name="SG_10_05_1" localSheetId="11">#REF!</definedName>
    <definedName name="SG_10_05_1">[5]RESUMO!#REF!</definedName>
    <definedName name="SG_10_06" localSheetId="13">#REF!</definedName>
    <definedName name="SG_10_06" localSheetId="14">#REF!</definedName>
    <definedName name="SG_10_06" localSheetId="15">#REF!</definedName>
    <definedName name="SG_10_06" localSheetId="16">#REF!</definedName>
    <definedName name="SG_10_06" localSheetId="17">#REF!</definedName>
    <definedName name="SG_10_06" localSheetId="18">#REF!</definedName>
    <definedName name="SG_10_06" localSheetId="20">#REF!</definedName>
    <definedName name="SG_10_06" localSheetId="21">#REF!</definedName>
    <definedName name="SG_10_06" localSheetId="7">#REF!</definedName>
    <definedName name="SG_10_06" localSheetId="3">#REF!</definedName>
    <definedName name="SG_10_06" localSheetId="11">#REF!</definedName>
    <definedName name="SG_10_06">'[14]Planilha PROJETISTA'!#REF!</definedName>
    <definedName name="SG_10_06_1" localSheetId="13">#REF!</definedName>
    <definedName name="SG_10_06_1" localSheetId="14">#REF!</definedName>
    <definedName name="SG_10_06_1" localSheetId="15">#REF!</definedName>
    <definedName name="SG_10_06_1" localSheetId="16">#REF!</definedName>
    <definedName name="SG_10_06_1" localSheetId="17">#REF!</definedName>
    <definedName name="SG_10_06_1" localSheetId="18">#REF!</definedName>
    <definedName name="SG_10_06_1" localSheetId="20">#REF!</definedName>
    <definedName name="SG_10_06_1" localSheetId="21">#REF!</definedName>
    <definedName name="SG_10_06_1" localSheetId="7">#REF!</definedName>
    <definedName name="SG_10_06_1" localSheetId="3">#REF!</definedName>
    <definedName name="SG_10_06_1" localSheetId="11">#REF!</definedName>
    <definedName name="SG_10_06_1">[5]RESUMO!#REF!</definedName>
    <definedName name="SG_10_07" localSheetId="13">#REF!</definedName>
    <definedName name="SG_10_07" localSheetId="14">#REF!</definedName>
    <definedName name="SG_10_07" localSheetId="15">#REF!</definedName>
    <definedName name="SG_10_07" localSheetId="16">#REF!</definedName>
    <definedName name="SG_10_07" localSheetId="17">#REF!</definedName>
    <definedName name="SG_10_07" localSheetId="18">#REF!</definedName>
    <definedName name="SG_10_07" localSheetId="20">#REF!</definedName>
    <definedName name="SG_10_07" localSheetId="21">#REF!</definedName>
    <definedName name="SG_10_07" localSheetId="7">#REF!</definedName>
    <definedName name="SG_10_07" localSheetId="3">#REF!</definedName>
    <definedName name="SG_10_07" localSheetId="11">#REF!</definedName>
    <definedName name="SG_10_07">'[14]Planilha PROJETISTA'!#REF!</definedName>
    <definedName name="SG_10_07_1" localSheetId="13">#REF!</definedName>
    <definedName name="SG_10_07_1" localSheetId="14">#REF!</definedName>
    <definedName name="SG_10_07_1" localSheetId="15">#REF!</definedName>
    <definedName name="SG_10_07_1" localSheetId="16">#REF!</definedName>
    <definedName name="SG_10_07_1" localSheetId="17">#REF!</definedName>
    <definedName name="SG_10_07_1" localSheetId="18">#REF!</definedName>
    <definedName name="SG_10_07_1" localSheetId="20">#REF!</definedName>
    <definedName name="SG_10_07_1" localSheetId="21">#REF!</definedName>
    <definedName name="SG_10_07_1" localSheetId="7">#REF!</definedName>
    <definedName name="SG_10_07_1" localSheetId="3">#REF!</definedName>
    <definedName name="SG_10_07_1" localSheetId="11">#REF!</definedName>
    <definedName name="SG_10_07_1">[5]RESUMO!#REF!</definedName>
    <definedName name="SG_10_08" localSheetId="13">#REF!</definedName>
    <definedName name="SG_10_08" localSheetId="14">#REF!</definedName>
    <definedName name="SG_10_08" localSheetId="15">#REF!</definedName>
    <definedName name="SG_10_08" localSheetId="16">#REF!</definedName>
    <definedName name="SG_10_08" localSheetId="17">#REF!</definedName>
    <definedName name="SG_10_08" localSheetId="18">#REF!</definedName>
    <definedName name="SG_10_08" localSheetId="20">#REF!</definedName>
    <definedName name="SG_10_08" localSheetId="21">#REF!</definedName>
    <definedName name="SG_10_08" localSheetId="7">#REF!</definedName>
    <definedName name="SG_10_08" localSheetId="3">#REF!</definedName>
    <definedName name="SG_10_08" localSheetId="11">#REF!</definedName>
    <definedName name="SG_10_08">'[14]Planilha PROJETISTA'!#REF!</definedName>
    <definedName name="SG_10_08_1" localSheetId="13">#REF!</definedName>
    <definedName name="SG_10_08_1" localSheetId="14">#REF!</definedName>
    <definedName name="SG_10_08_1" localSheetId="15">#REF!</definedName>
    <definedName name="SG_10_08_1" localSheetId="16">#REF!</definedName>
    <definedName name="SG_10_08_1" localSheetId="17">#REF!</definedName>
    <definedName name="SG_10_08_1" localSheetId="18">#REF!</definedName>
    <definedName name="SG_10_08_1" localSheetId="20">#REF!</definedName>
    <definedName name="SG_10_08_1" localSheetId="21">#REF!</definedName>
    <definedName name="SG_10_08_1" localSheetId="7">#REF!</definedName>
    <definedName name="SG_10_08_1" localSheetId="3">#REF!</definedName>
    <definedName name="SG_10_08_1" localSheetId="11">#REF!</definedName>
    <definedName name="SG_10_08_1">[5]RESUMO!#REF!</definedName>
    <definedName name="SG_10_09" localSheetId="13">#REF!</definedName>
    <definedName name="SG_10_09" localSheetId="14">#REF!</definedName>
    <definedName name="SG_10_09" localSheetId="15">#REF!</definedName>
    <definedName name="SG_10_09" localSheetId="16">#REF!</definedName>
    <definedName name="SG_10_09" localSheetId="17">#REF!</definedName>
    <definedName name="SG_10_09" localSheetId="18">#REF!</definedName>
    <definedName name="SG_10_09" localSheetId="20">#REF!</definedName>
    <definedName name="SG_10_09" localSheetId="21">#REF!</definedName>
    <definedName name="SG_10_09" localSheetId="7">#REF!</definedName>
    <definedName name="SG_10_09" localSheetId="3">#REF!</definedName>
    <definedName name="SG_10_09" localSheetId="11">#REF!</definedName>
    <definedName name="SG_10_09">'[14]Planilha PROJETISTA'!#REF!</definedName>
    <definedName name="SG_10_09_1" localSheetId="13">#REF!</definedName>
    <definedName name="SG_10_09_1" localSheetId="14">#REF!</definedName>
    <definedName name="SG_10_09_1" localSheetId="15">#REF!</definedName>
    <definedName name="SG_10_09_1" localSheetId="16">#REF!</definedName>
    <definedName name="SG_10_09_1" localSheetId="17">#REF!</definedName>
    <definedName name="SG_10_09_1" localSheetId="18">#REF!</definedName>
    <definedName name="SG_10_09_1" localSheetId="20">#REF!</definedName>
    <definedName name="SG_10_09_1" localSheetId="21">#REF!</definedName>
    <definedName name="SG_10_09_1" localSheetId="7">#REF!</definedName>
    <definedName name="SG_10_09_1" localSheetId="3">#REF!</definedName>
    <definedName name="SG_10_09_1" localSheetId="11">#REF!</definedName>
    <definedName name="SG_10_09_1">[5]RESUMO!#REF!</definedName>
    <definedName name="SG_10_10" localSheetId="13">#REF!</definedName>
    <definedName name="SG_10_10" localSheetId="14">#REF!</definedName>
    <definedName name="SG_10_10" localSheetId="15">#REF!</definedName>
    <definedName name="SG_10_10" localSheetId="16">#REF!</definedName>
    <definedName name="SG_10_10" localSheetId="17">#REF!</definedName>
    <definedName name="SG_10_10" localSheetId="18">#REF!</definedName>
    <definedName name="SG_10_10" localSheetId="20">#REF!</definedName>
    <definedName name="SG_10_10" localSheetId="21">#REF!</definedName>
    <definedName name="SG_10_10" localSheetId="7">#REF!</definedName>
    <definedName name="SG_10_10" localSheetId="3">#REF!</definedName>
    <definedName name="SG_10_10" localSheetId="11">#REF!</definedName>
    <definedName name="SG_10_10">'[14]Planilha PROJETISTA'!#REF!</definedName>
    <definedName name="SG_10_10_1" localSheetId="13">#REF!</definedName>
    <definedName name="SG_10_10_1" localSheetId="14">#REF!</definedName>
    <definedName name="SG_10_10_1" localSheetId="15">#REF!</definedName>
    <definedName name="SG_10_10_1" localSheetId="16">#REF!</definedName>
    <definedName name="SG_10_10_1" localSheetId="17">#REF!</definedName>
    <definedName name="SG_10_10_1" localSheetId="18">#REF!</definedName>
    <definedName name="SG_10_10_1" localSheetId="20">#REF!</definedName>
    <definedName name="SG_10_10_1" localSheetId="21">#REF!</definedName>
    <definedName name="SG_10_10_1" localSheetId="7">#REF!</definedName>
    <definedName name="SG_10_10_1" localSheetId="3">#REF!</definedName>
    <definedName name="SG_10_10_1" localSheetId="11">#REF!</definedName>
    <definedName name="SG_10_10_1">[5]RESUMO!#REF!</definedName>
    <definedName name="SG_10_11" localSheetId="13">#REF!</definedName>
    <definedName name="SG_10_11" localSheetId="14">#REF!</definedName>
    <definedName name="SG_10_11" localSheetId="15">#REF!</definedName>
    <definedName name="SG_10_11" localSheetId="16">#REF!</definedName>
    <definedName name="SG_10_11" localSheetId="17">#REF!</definedName>
    <definedName name="SG_10_11" localSheetId="18">#REF!</definedName>
    <definedName name="SG_10_11" localSheetId="20">#REF!</definedName>
    <definedName name="SG_10_11" localSheetId="21">#REF!</definedName>
    <definedName name="SG_10_11" localSheetId="7">#REF!</definedName>
    <definedName name="SG_10_11" localSheetId="3">#REF!</definedName>
    <definedName name="SG_10_11" localSheetId="11">#REF!</definedName>
    <definedName name="SG_10_11">'[14]Planilha PROJETISTA'!#REF!</definedName>
    <definedName name="SG_10_11_1" localSheetId="13">#REF!</definedName>
    <definedName name="SG_10_11_1" localSheetId="14">#REF!</definedName>
    <definedName name="SG_10_11_1" localSheetId="15">#REF!</definedName>
    <definedName name="SG_10_11_1" localSheetId="16">#REF!</definedName>
    <definedName name="SG_10_11_1" localSheetId="17">#REF!</definedName>
    <definedName name="SG_10_11_1" localSheetId="18">#REF!</definedName>
    <definedName name="SG_10_11_1" localSheetId="20">#REF!</definedName>
    <definedName name="SG_10_11_1" localSheetId="21">#REF!</definedName>
    <definedName name="SG_10_11_1" localSheetId="7">#REF!</definedName>
    <definedName name="SG_10_11_1" localSheetId="3">#REF!</definedName>
    <definedName name="SG_10_11_1" localSheetId="11">#REF!</definedName>
    <definedName name="SG_10_11_1">[5]RESUMO!#REF!</definedName>
    <definedName name="SG_10_12" localSheetId="13">#REF!</definedName>
    <definedName name="SG_10_12" localSheetId="14">#REF!</definedName>
    <definedName name="SG_10_12" localSheetId="15">#REF!</definedName>
    <definedName name="SG_10_12" localSheetId="16">#REF!</definedName>
    <definedName name="SG_10_12" localSheetId="17">#REF!</definedName>
    <definedName name="SG_10_12" localSheetId="18">#REF!</definedName>
    <definedName name="SG_10_12" localSheetId="20">#REF!</definedName>
    <definedName name="SG_10_12" localSheetId="21">#REF!</definedName>
    <definedName name="SG_10_12" localSheetId="7">#REF!</definedName>
    <definedName name="SG_10_12" localSheetId="3">#REF!</definedName>
    <definedName name="SG_10_12" localSheetId="11">#REF!</definedName>
    <definedName name="SG_10_12">'[14]Planilha PROJETISTA'!#REF!</definedName>
    <definedName name="SG_10_12_1" localSheetId="13">#REF!</definedName>
    <definedName name="SG_10_12_1" localSheetId="14">#REF!</definedName>
    <definedName name="SG_10_12_1" localSheetId="15">#REF!</definedName>
    <definedName name="SG_10_12_1" localSheetId="16">#REF!</definedName>
    <definedName name="SG_10_12_1" localSheetId="17">#REF!</definedName>
    <definedName name="SG_10_12_1" localSheetId="18">#REF!</definedName>
    <definedName name="SG_10_12_1" localSheetId="20">#REF!</definedName>
    <definedName name="SG_10_12_1" localSheetId="21">#REF!</definedName>
    <definedName name="SG_10_12_1" localSheetId="7">#REF!</definedName>
    <definedName name="SG_10_12_1" localSheetId="3">#REF!</definedName>
    <definedName name="SG_10_12_1" localSheetId="11">#REF!</definedName>
    <definedName name="SG_10_12_1">[5]RESUMO!#REF!</definedName>
    <definedName name="SG_10_13" localSheetId="13">#REF!</definedName>
    <definedName name="SG_10_13" localSheetId="14">#REF!</definedName>
    <definedName name="SG_10_13" localSheetId="15">#REF!</definedName>
    <definedName name="SG_10_13" localSheetId="16">#REF!</definedName>
    <definedName name="SG_10_13" localSheetId="17">#REF!</definedName>
    <definedName name="SG_10_13" localSheetId="18">#REF!</definedName>
    <definedName name="SG_10_13" localSheetId="20">#REF!</definedName>
    <definedName name="SG_10_13" localSheetId="21">#REF!</definedName>
    <definedName name="SG_10_13" localSheetId="7">#REF!</definedName>
    <definedName name="SG_10_13" localSheetId="3">#REF!</definedName>
    <definedName name="SG_10_13" localSheetId="11">#REF!</definedName>
    <definedName name="SG_10_13">'[14]Planilha PROJETISTA'!#REF!</definedName>
    <definedName name="SG_10_13_1" localSheetId="13">#REF!</definedName>
    <definedName name="SG_10_13_1" localSheetId="14">#REF!</definedName>
    <definedName name="SG_10_13_1" localSheetId="15">#REF!</definedName>
    <definedName name="SG_10_13_1" localSheetId="16">#REF!</definedName>
    <definedName name="SG_10_13_1" localSheetId="17">#REF!</definedName>
    <definedName name="SG_10_13_1" localSheetId="18">#REF!</definedName>
    <definedName name="SG_10_13_1" localSheetId="20">#REF!</definedName>
    <definedName name="SG_10_13_1" localSheetId="21">#REF!</definedName>
    <definedName name="SG_10_13_1" localSheetId="7">#REF!</definedName>
    <definedName name="SG_10_13_1" localSheetId="3">#REF!</definedName>
    <definedName name="SG_10_13_1" localSheetId="11">#REF!</definedName>
    <definedName name="SG_10_13_1">[5]RESUMO!#REF!</definedName>
    <definedName name="SG_10_14" localSheetId="13">#REF!</definedName>
    <definedName name="SG_10_14" localSheetId="14">#REF!</definedName>
    <definedName name="SG_10_14" localSheetId="15">#REF!</definedName>
    <definedName name="SG_10_14" localSheetId="16">#REF!</definedName>
    <definedName name="SG_10_14" localSheetId="17">#REF!</definedName>
    <definedName name="SG_10_14" localSheetId="18">#REF!</definedName>
    <definedName name="SG_10_14" localSheetId="20">#REF!</definedName>
    <definedName name="SG_10_14" localSheetId="21">#REF!</definedName>
    <definedName name="SG_10_14" localSheetId="7">#REF!</definedName>
    <definedName name="SG_10_14" localSheetId="3">#REF!</definedName>
    <definedName name="SG_10_14" localSheetId="11">#REF!</definedName>
    <definedName name="SG_10_14">'[14]Planilha PROJETISTA'!#REF!</definedName>
    <definedName name="SG_10_14_1" localSheetId="13">#REF!</definedName>
    <definedName name="SG_10_14_1" localSheetId="14">#REF!</definedName>
    <definedName name="SG_10_14_1" localSheetId="15">#REF!</definedName>
    <definedName name="SG_10_14_1" localSheetId="16">#REF!</definedName>
    <definedName name="SG_10_14_1" localSheetId="17">#REF!</definedName>
    <definedName name="SG_10_14_1" localSheetId="18">#REF!</definedName>
    <definedName name="SG_10_14_1" localSheetId="20">#REF!</definedName>
    <definedName name="SG_10_14_1" localSheetId="21">#REF!</definedName>
    <definedName name="SG_10_14_1" localSheetId="7">#REF!</definedName>
    <definedName name="SG_10_14_1" localSheetId="3">#REF!</definedName>
    <definedName name="SG_10_14_1" localSheetId="11">#REF!</definedName>
    <definedName name="SG_10_14_1">[5]RESUMO!#REF!</definedName>
    <definedName name="SG_10_15" localSheetId="13">#REF!</definedName>
    <definedName name="SG_10_15" localSheetId="14">#REF!</definedName>
    <definedName name="SG_10_15" localSheetId="15">#REF!</definedName>
    <definedName name="SG_10_15" localSheetId="16">#REF!</definedName>
    <definedName name="SG_10_15" localSheetId="17">#REF!</definedName>
    <definedName name="SG_10_15" localSheetId="18">#REF!</definedName>
    <definedName name="SG_10_15" localSheetId="20">#REF!</definedName>
    <definedName name="SG_10_15" localSheetId="21">#REF!</definedName>
    <definedName name="SG_10_15" localSheetId="7">#REF!</definedName>
    <definedName name="SG_10_15" localSheetId="3">#REF!</definedName>
    <definedName name="SG_10_15" localSheetId="11">#REF!</definedName>
    <definedName name="SG_10_15">'[14]Planilha PROJETISTA'!#REF!</definedName>
    <definedName name="SG_10_15_1" localSheetId="13">#REF!</definedName>
    <definedName name="SG_10_15_1" localSheetId="14">#REF!</definedName>
    <definedName name="SG_10_15_1" localSheetId="15">#REF!</definedName>
    <definedName name="SG_10_15_1" localSheetId="16">#REF!</definedName>
    <definedName name="SG_10_15_1" localSheetId="17">#REF!</definedName>
    <definedName name="SG_10_15_1" localSheetId="18">#REF!</definedName>
    <definedName name="SG_10_15_1" localSheetId="20">#REF!</definedName>
    <definedName name="SG_10_15_1" localSheetId="21">#REF!</definedName>
    <definedName name="SG_10_15_1" localSheetId="7">#REF!</definedName>
    <definedName name="SG_10_15_1" localSheetId="3">#REF!</definedName>
    <definedName name="SG_10_15_1" localSheetId="11">#REF!</definedName>
    <definedName name="SG_10_15_1">[5]RESUMO!#REF!</definedName>
    <definedName name="SG_10_16" localSheetId="13">#REF!</definedName>
    <definedName name="SG_10_16" localSheetId="14">#REF!</definedName>
    <definedName name="SG_10_16" localSheetId="15">#REF!</definedName>
    <definedName name="SG_10_16" localSheetId="16">#REF!</definedName>
    <definedName name="SG_10_16" localSheetId="17">#REF!</definedName>
    <definedName name="SG_10_16" localSheetId="18">#REF!</definedName>
    <definedName name="SG_10_16" localSheetId="20">#REF!</definedName>
    <definedName name="SG_10_16" localSheetId="21">#REF!</definedName>
    <definedName name="SG_10_16" localSheetId="7">#REF!</definedName>
    <definedName name="SG_10_16" localSheetId="3">#REF!</definedName>
    <definedName name="SG_10_16" localSheetId="11">#REF!</definedName>
    <definedName name="SG_10_16">'[14]Planilha PROJETISTA'!#REF!</definedName>
    <definedName name="SG_10_16_1" localSheetId="13">#REF!</definedName>
    <definedName name="SG_10_16_1" localSheetId="14">#REF!</definedName>
    <definedName name="SG_10_16_1" localSheetId="15">#REF!</definedName>
    <definedName name="SG_10_16_1" localSheetId="16">#REF!</definedName>
    <definedName name="SG_10_16_1" localSheetId="17">#REF!</definedName>
    <definedName name="SG_10_16_1" localSheetId="18">#REF!</definedName>
    <definedName name="SG_10_16_1" localSheetId="20">#REF!</definedName>
    <definedName name="SG_10_16_1" localSheetId="21">#REF!</definedName>
    <definedName name="SG_10_16_1" localSheetId="7">#REF!</definedName>
    <definedName name="SG_10_16_1" localSheetId="3">#REF!</definedName>
    <definedName name="SG_10_16_1" localSheetId="11">#REF!</definedName>
    <definedName name="SG_10_16_1">[5]RESUMO!#REF!</definedName>
    <definedName name="SG_10_17" localSheetId="13">#REF!</definedName>
    <definedName name="SG_10_17" localSheetId="14">#REF!</definedName>
    <definedName name="SG_10_17" localSheetId="15">#REF!</definedName>
    <definedName name="SG_10_17" localSheetId="16">#REF!</definedName>
    <definedName name="SG_10_17" localSheetId="17">#REF!</definedName>
    <definedName name="SG_10_17" localSheetId="18">#REF!</definedName>
    <definedName name="SG_10_17" localSheetId="20">#REF!</definedName>
    <definedName name="SG_10_17" localSheetId="21">#REF!</definedName>
    <definedName name="SG_10_17" localSheetId="7">#REF!</definedName>
    <definedName name="SG_10_17" localSheetId="3">#REF!</definedName>
    <definedName name="SG_10_17" localSheetId="11">#REF!</definedName>
    <definedName name="SG_10_17">'[14]Planilha PROJETISTA'!#REF!</definedName>
    <definedName name="SG_10_17_1" localSheetId="13">#REF!</definedName>
    <definedName name="SG_10_17_1" localSheetId="14">#REF!</definedName>
    <definedName name="SG_10_17_1" localSheetId="15">#REF!</definedName>
    <definedName name="SG_10_17_1" localSheetId="16">#REF!</definedName>
    <definedName name="SG_10_17_1" localSheetId="17">#REF!</definedName>
    <definedName name="SG_10_17_1" localSheetId="18">#REF!</definedName>
    <definedName name="SG_10_17_1" localSheetId="20">#REF!</definedName>
    <definedName name="SG_10_17_1" localSheetId="21">#REF!</definedName>
    <definedName name="SG_10_17_1" localSheetId="7">#REF!</definedName>
    <definedName name="SG_10_17_1" localSheetId="3">#REF!</definedName>
    <definedName name="SG_10_17_1" localSheetId="11">#REF!</definedName>
    <definedName name="SG_10_17_1">[5]RESUMO!#REF!</definedName>
    <definedName name="SG_10_18" localSheetId="13">#REF!</definedName>
    <definedName name="SG_10_18" localSheetId="14">#REF!</definedName>
    <definedName name="SG_10_18" localSheetId="15">#REF!</definedName>
    <definedName name="SG_10_18" localSheetId="16">#REF!</definedName>
    <definedName name="SG_10_18" localSheetId="17">#REF!</definedName>
    <definedName name="SG_10_18" localSheetId="18">#REF!</definedName>
    <definedName name="SG_10_18" localSheetId="20">#REF!</definedName>
    <definedName name="SG_10_18" localSheetId="21">#REF!</definedName>
    <definedName name="SG_10_18" localSheetId="7">#REF!</definedName>
    <definedName name="SG_10_18" localSheetId="3">#REF!</definedName>
    <definedName name="SG_10_18" localSheetId="11">#REF!</definedName>
    <definedName name="SG_10_18">'[14]Planilha PROJETISTA'!#REF!</definedName>
    <definedName name="SG_10_18_1" localSheetId="13">#REF!</definedName>
    <definedName name="SG_10_18_1" localSheetId="14">#REF!</definedName>
    <definedName name="SG_10_18_1" localSheetId="15">#REF!</definedName>
    <definedName name="SG_10_18_1" localSheetId="16">#REF!</definedName>
    <definedName name="SG_10_18_1" localSheetId="17">#REF!</definedName>
    <definedName name="SG_10_18_1" localSheetId="18">#REF!</definedName>
    <definedName name="SG_10_18_1" localSheetId="20">#REF!</definedName>
    <definedName name="SG_10_18_1" localSheetId="21">#REF!</definedName>
    <definedName name="SG_10_18_1" localSheetId="7">#REF!</definedName>
    <definedName name="SG_10_18_1" localSheetId="3">#REF!</definedName>
    <definedName name="SG_10_18_1" localSheetId="11">#REF!</definedName>
    <definedName name="SG_10_18_1">[5]RESUMO!#REF!</definedName>
    <definedName name="SG_10_19" localSheetId="13">#REF!</definedName>
    <definedName name="SG_10_19" localSheetId="14">#REF!</definedName>
    <definedName name="SG_10_19" localSheetId="15">#REF!</definedName>
    <definedName name="SG_10_19" localSheetId="16">#REF!</definedName>
    <definedName name="SG_10_19" localSheetId="17">#REF!</definedName>
    <definedName name="SG_10_19" localSheetId="18">#REF!</definedName>
    <definedName name="SG_10_19" localSheetId="20">#REF!</definedName>
    <definedName name="SG_10_19" localSheetId="21">#REF!</definedName>
    <definedName name="SG_10_19" localSheetId="7">#REF!</definedName>
    <definedName name="SG_10_19" localSheetId="3">#REF!</definedName>
    <definedName name="SG_10_19" localSheetId="11">#REF!</definedName>
    <definedName name="SG_10_19">'[14]Planilha PROJETISTA'!#REF!</definedName>
    <definedName name="SG_10_19_1" localSheetId="13">#REF!</definedName>
    <definedName name="SG_10_19_1" localSheetId="14">#REF!</definedName>
    <definedName name="SG_10_19_1" localSheetId="15">#REF!</definedName>
    <definedName name="SG_10_19_1" localSheetId="16">#REF!</definedName>
    <definedName name="SG_10_19_1" localSheetId="17">#REF!</definedName>
    <definedName name="SG_10_19_1" localSheetId="18">#REF!</definedName>
    <definedName name="SG_10_19_1" localSheetId="20">#REF!</definedName>
    <definedName name="SG_10_19_1" localSheetId="21">#REF!</definedName>
    <definedName name="SG_10_19_1" localSheetId="7">#REF!</definedName>
    <definedName name="SG_10_19_1" localSheetId="3">#REF!</definedName>
    <definedName name="SG_10_19_1" localSheetId="11">#REF!</definedName>
    <definedName name="SG_10_19_1">[5]RESUMO!#REF!</definedName>
    <definedName name="SG_10_20" localSheetId="13">#REF!</definedName>
    <definedName name="SG_10_20" localSheetId="14">#REF!</definedName>
    <definedName name="SG_10_20" localSheetId="15">#REF!</definedName>
    <definedName name="SG_10_20" localSheetId="16">#REF!</definedName>
    <definedName name="SG_10_20" localSheetId="17">#REF!</definedName>
    <definedName name="SG_10_20" localSheetId="18">#REF!</definedName>
    <definedName name="SG_10_20" localSheetId="20">#REF!</definedName>
    <definedName name="SG_10_20" localSheetId="21">#REF!</definedName>
    <definedName name="SG_10_20" localSheetId="7">#REF!</definedName>
    <definedName name="SG_10_20" localSheetId="3">#REF!</definedName>
    <definedName name="SG_10_20" localSheetId="11">#REF!</definedName>
    <definedName name="SG_10_20">'[14]Planilha PROJETISTA'!#REF!</definedName>
    <definedName name="SG_10_20_1" localSheetId="13">#REF!</definedName>
    <definedName name="SG_10_20_1" localSheetId="14">#REF!</definedName>
    <definedName name="SG_10_20_1" localSheetId="15">#REF!</definedName>
    <definedName name="SG_10_20_1" localSheetId="16">#REF!</definedName>
    <definedName name="SG_10_20_1" localSheetId="17">#REF!</definedName>
    <definedName name="SG_10_20_1" localSheetId="18">#REF!</definedName>
    <definedName name="SG_10_20_1" localSheetId="20">#REF!</definedName>
    <definedName name="SG_10_20_1" localSheetId="21">#REF!</definedName>
    <definedName name="SG_10_20_1" localSheetId="7">#REF!</definedName>
    <definedName name="SG_10_20_1" localSheetId="3">#REF!</definedName>
    <definedName name="SG_10_20_1" localSheetId="11">#REF!</definedName>
    <definedName name="SG_10_20_1">[5]RESUMO!#REF!</definedName>
    <definedName name="SG_11_01_1" localSheetId="13">#REF!</definedName>
    <definedName name="SG_11_01_1" localSheetId="14">#REF!</definedName>
    <definedName name="SG_11_01_1" localSheetId="15">#REF!</definedName>
    <definedName name="SG_11_01_1" localSheetId="16">#REF!</definedName>
    <definedName name="SG_11_01_1" localSheetId="17">#REF!</definedName>
    <definedName name="SG_11_01_1" localSheetId="18">#REF!</definedName>
    <definedName name="SG_11_01_1" localSheetId="20">#REF!</definedName>
    <definedName name="SG_11_01_1" localSheetId="21">#REF!</definedName>
    <definedName name="SG_11_01_1" localSheetId="7">#REF!</definedName>
    <definedName name="SG_11_01_1" localSheetId="3">#REF!</definedName>
    <definedName name="SG_11_01_1" localSheetId="11">#REF!</definedName>
    <definedName name="SG_11_01_1">[5]RESUMO!#REF!</definedName>
    <definedName name="SG_11_02" localSheetId="13">#REF!</definedName>
    <definedName name="SG_11_02" localSheetId="14">#REF!</definedName>
    <definedName name="SG_11_02" localSheetId="15">#REF!</definedName>
    <definedName name="SG_11_02" localSheetId="16">#REF!</definedName>
    <definedName name="SG_11_02" localSheetId="17">#REF!</definedName>
    <definedName name="SG_11_02" localSheetId="18">#REF!</definedName>
    <definedName name="SG_11_02" localSheetId="20">#REF!</definedName>
    <definedName name="SG_11_02" localSheetId="21">#REF!</definedName>
    <definedName name="SG_11_02" localSheetId="7">#REF!</definedName>
    <definedName name="SG_11_02" localSheetId="3">#REF!</definedName>
    <definedName name="SG_11_02" localSheetId="11">#REF!</definedName>
    <definedName name="SG_11_02">'[14]Planilha PROJETISTA'!#REF!</definedName>
    <definedName name="SG_11_02_1" localSheetId="13">#REF!</definedName>
    <definedName name="SG_11_02_1" localSheetId="14">#REF!</definedName>
    <definedName name="SG_11_02_1" localSheetId="15">#REF!</definedName>
    <definedName name="SG_11_02_1" localSheetId="16">#REF!</definedName>
    <definedName name="SG_11_02_1" localSheetId="17">#REF!</definedName>
    <definedName name="SG_11_02_1" localSheetId="18">#REF!</definedName>
    <definedName name="SG_11_02_1" localSheetId="20">#REF!</definedName>
    <definedName name="SG_11_02_1" localSheetId="21">#REF!</definedName>
    <definedName name="SG_11_02_1" localSheetId="7">#REF!</definedName>
    <definedName name="SG_11_02_1" localSheetId="3">#REF!</definedName>
    <definedName name="SG_11_02_1" localSheetId="11">#REF!</definedName>
    <definedName name="SG_11_02_1">[5]RESUMO!#REF!</definedName>
    <definedName name="SG_11_03" localSheetId="13">#REF!</definedName>
    <definedName name="SG_11_03" localSheetId="14">#REF!</definedName>
    <definedName name="SG_11_03" localSheetId="15">#REF!</definedName>
    <definedName name="SG_11_03" localSheetId="16">#REF!</definedName>
    <definedName name="SG_11_03" localSheetId="17">#REF!</definedName>
    <definedName name="SG_11_03" localSheetId="18">#REF!</definedName>
    <definedName name="SG_11_03" localSheetId="20">#REF!</definedName>
    <definedName name="SG_11_03" localSheetId="21">#REF!</definedName>
    <definedName name="SG_11_03" localSheetId="7">#REF!</definedName>
    <definedName name="SG_11_03" localSheetId="3">#REF!</definedName>
    <definedName name="SG_11_03" localSheetId="11">#REF!</definedName>
    <definedName name="SG_11_03">'[14]Planilha PROJETISTA'!#REF!</definedName>
    <definedName name="SG_11_03_1" localSheetId="13">#REF!</definedName>
    <definedName name="SG_11_03_1" localSheetId="14">#REF!</definedName>
    <definedName name="SG_11_03_1" localSheetId="15">#REF!</definedName>
    <definedName name="SG_11_03_1" localSheetId="16">#REF!</definedName>
    <definedName name="SG_11_03_1" localSheetId="17">#REF!</definedName>
    <definedName name="SG_11_03_1" localSheetId="18">#REF!</definedName>
    <definedName name="SG_11_03_1" localSheetId="20">#REF!</definedName>
    <definedName name="SG_11_03_1" localSheetId="21">#REF!</definedName>
    <definedName name="SG_11_03_1" localSheetId="7">#REF!</definedName>
    <definedName name="SG_11_03_1" localSheetId="3">#REF!</definedName>
    <definedName name="SG_11_03_1" localSheetId="11">#REF!</definedName>
    <definedName name="SG_11_03_1">[5]RESUMO!#REF!</definedName>
    <definedName name="SG_11_04" localSheetId="13">#REF!</definedName>
    <definedName name="SG_11_04" localSheetId="14">#REF!</definedName>
    <definedName name="SG_11_04" localSheetId="15">#REF!</definedName>
    <definedName name="SG_11_04" localSheetId="16">#REF!</definedName>
    <definedName name="SG_11_04" localSheetId="17">#REF!</definedName>
    <definedName name="SG_11_04" localSheetId="18">#REF!</definedName>
    <definedName name="SG_11_04" localSheetId="20">#REF!</definedName>
    <definedName name="SG_11_04" localSheetId="21">#REF!</definedName>
    <definedName name="SG_11_04" localSheetId="7">#REF!</definedName>
    <definedName name="SG_11_04" localSheetId="3">#REF!</definedName>
    <definedName name="SG_11_04" localSheetId="11">#REF!</definedName>
    <definedName name="SG_11_04">'[14]Planilha PROJETISTA'!#REF!</definedName>
    <definedName name="SG_11_04_1" localSheetId="13">#REF!</definedName>
    <definedName name="SG_11_04_1" localSheetId="14">#REF!</definedName>
    <definedName name="SG_11_04_1" localSheetId="15">#REF!</definedName>
    <definedName name="SG_11_04_1" localSheetId="16">#REF!</definedName>
    <definedName name="SG_11_04_1" localSheetId="17">#REF!</definedName>
    <definedName name="SG_11_04_1" localSheetId="18">#REF!</definedName>
    <definedName name="SG_11_04_1" localSheetId="20">#REF!</definedName>
    <definedName name="SG_11_04_1" localSheetId="21">#REF!</definedName>
    <definedName name="SG_11_04_1" localSheetId="7">#REF!</definedName>
    <definedName name="SG_11_04_1" localSheetId="3">#REF!</definedName>
    <definedName name="SG_11_04_1" localSheetId="11">#REF!</definedName>
    <definedName name="SG_11_04_1">[5]RESUMO!#REF!</definedName>
    <definedName name="SG_11_05" localSheetId="13">#REF!</definedName>
    <definedName name="SG_11_05" localSheetId="14">#REF!</definedName>
    <definedName name="SG_11_05" localSheetId="15">#REF!</definedName>
    <definedName name="SG_11_05" localSheetId="16">#REF!</definedName>
    <definedName name="SG_11_05" localSheetId="17">#REF!</definedName>
    <definedName name="SG_11_05" localSheetId="18">#REF!</definedName>
    <definedName name="SG_11_05" localSheetId="20">#REF!</definedName>
    <definedName name="SG_11_05" localSheetId="21">#REF!</definedName>
    <definedName name="SG_11_05" localSheetId="7">#REF!</definedName>
    <definedName name="SG_11_05" localSheetId="3">#REF!</definedName>
    <definedName name="SG_11_05" localSheetId="11">#REF!</definedName>
    <definedName name="SG_11_05">'[14]Planilha PROJETISTA'!#REF!</definedName>
    <definedName name="SG_11_05_1" localSheetId="13">#REF!</definedName>
    <definedName name="SG_11_05_1" localSheetId="14">#REF!</definedName>
    <definedName name="SG_11_05_1" localSheetId="15">#REF!</definedName>
    <definedName name="SG_11_05_1" localSheetId="16">#REF!</definedName>
    <definedName name="SG_11_05_1" localSheetId="17">#REF!</definedName>
    <definedName name="SG_11_05_1" localSheetId="18">#REF!</definedName>
    <definedName name="SG_11_05_1" localSheetId="20">#REF!</definedName>
    <definedName name="SG_11_05_1" localSheetId="21">#REF!</definedName>
    <definedName name="SG_11_05_1" localSheetId="7">#REF!</definedName>
    <definedName name="SG_11_05_1" localSheetId="3">#REF!</definedName>
    <definedName name="SG_11_05_1" localSheetId="11">#REF!</definedName>
    <definedName name="SG_11_05_1">[5]RESUMO!#REF!</definedName>
    <definedName name="SG_11_06" localSheetId="13">#REF!</definedName>
    <definedName name="SG_11_06" localSheetId="14">#REF!</definedName>
    <definedName name="SG_11_06" localSheetId="15">#REF!</definedName>
    <definedName name="SG_11_06" localSheetId="16">#REF!</definedName>
    <definedName name="SG_11_06" localSheetId="17">#REF!</definedName>
    <definedName name="SG_11_06" localSheetId="18">#REF!</definedName>
    <definedName name="SG_11_06" localSheetId="20">#REF!</definedName>
    <definedName name="SG_11_06" localSheetId="21">#REF!</definedName>
    <definedName name="SG_11_06" localSheetId="7">#REF!</definedName>
    <definedName name="SG_11_06" localSheetId="3">#REF!</definedName>
    <definedName name="SG_11_06" localSheetId="11">#REF!</definedName>
    <definedName name="SG_11_06">'[14]Planilha PROJETISTA'!#REF!</definedName>
    <definedName name="SG_11_06_1" localSheetId="13">#REF!</definedName>
    <definedName name="SG_11_06_1" localSheetId="14">#REF!</definedName>
    <definedName name="SG_11_06_1" localSheetId="15">#REF!</definedName>
    <definedName name="SG_11_06_1" localSheetId="16">#REF!</definedName>
    <definedName name="SG_11_06_1" localSheetId="17">#REF!</definedName>
    <definedName name="SG_11_06_1" localSheetId="18">#REF!</definedName>
    <definedName name="SG_11_06_1" localSheetId="20">#REF!</definedName>
    <definedName name="SG_11_06_1" localSheetId="21">#REF!</definedName>
    <definedName name="SG_11_06_1" localSheetId="7">#REF!</definedName>
    <definedName name="SG_11_06_1" localSheetId="3">#REF!</definedName>
    <definedName name="SG_11_06_1" localSheetId="11">#REF!</definedName>
    <definedName name="SG_11_06_1">[5]RESUMO!#REF!</definedName>
    <definedName name="SG_11_07" localSheetId="13">#REF!</definedName>
    <definedName name="SG_11_07" localSheetId="14">#REF!</definedName>
    <definedName name="SG_11_07" localSheetId="15">#REF!</definedName>
    <definedName name="SG_11_07" localSheetId="16">#REF!</definedName>
    <definedName name="SG_11_07" localSheetId="17">#REF!</definedName>
    <definedName name="SG_11_07" localSheetId="18">#REF!</definedName>
    <definedName name="SG_11_07" localSheetId="20">#REF!</definedName>
    <definedName name="SG_11_07" localSheetId="21">#REF!</definedName>
    <definedName name="SG_11_07" localSheetId="7">#REF!</definedName>
    <definedName name="SG_11_07" localSheetId="3">#REF!</definedName>
    <definedName name="SG_11_07" localSheetId="11">#REF!</definedName>
    <definedName name="SG_11_07">'[14]Planilha PROJETISTA'!#REF!</definedName>
    <definedName name="SG_11_07_1" localSheetId="13">#REF!</definedName>
    <definedName name="SG_11_07_1" localSheetId="14">#REF!</definedName>
    <definedName name="SG_11_07_1" localSheetId="15">#REF!</definedName>
    <definedName name="SG_11_07_1" localSheetId="16">#REF!</definedName>
    <definedName name="SG_11_07_1" localSheetId="17">#REF!</definedName>
    <definedName name="SG_11_07_1" localSheetId="18">#REF!</definedName>
    <definedName name="SG_11_07_1" localSheetId="20">#REF!</definedName>
    <definedName name="SG_11_07_1" localSheetId="21">#REF!</definedName>
    <definedName name="SG_11_07_1" localSheetId="7">#REF!</definedName>
    <definedName name="SG_11_07_1" localSheetId="3">#REF!</definedName>
    <definedName name="SG_11_07_1" localSheetId="11">#REF!</definedName>
    <definedName name="SG_11_07_1">[5]RESUMO!#REF!</definedName>
    <definedName name="SG_11_08" localSheetId="13">#REF!</definedName>
    <definedName name="SG_11_08" localSheetId="14">#REF!</definedName>
    <definedName name="SG_11_08" localSheetId="15">#REF!</definedName>
    <definedName name="SG_11_08" localSheetId="16">#REF!</definedName>
    <definedName name="SG_11_08" localSheetId="17">#REF!</definedName>
    <definedName name="SG_11_08" localSheetId="18">#REF!</definedName>
    <definedName name="SG_11_08" localSheetId="20">#REF!</definedName>
    <definedName name="SG_11_08" localSheetId="21">#REF!</definedName>
    <definedName name="SG_11_08" localSheetId="7">#REF!</definedName>
    <definedName name="SG_11_08" localSheetId="3">#REF!</definedName>
    <definedName name="SG_11_08" localSheetId="11">#REF!</definedName>
    <definedName name="SG_11_08">'[14]Planilha PROJETISTA'!#REF!</definedName>
    <definedName name="SG_11_08_1" localSheetId="13">#REF!</definedName>
    <definedName name="SG_11_08_1" localSheetId="14">#REF!</definedName>
    <definedName name="SG_11_08_1" localSheetId="15">#REF!</definedName>
    <definedName name="SG_11_08_1" localSheetId="16">#REF!</definedName>
    <definedName name="SG_11_08_1" localSheetId="17">#REF!</definedName>
    <definedName name="SG_11_08_1" localSheetId="18">#REF!</definedName>
    <definedName name="SG_11_08_1" localSheetId="20">#REF!</definedName>
    <definedName name="SG_11_08_1" localSheetId="21">#REF!</definedName>
    <definedName name="SG_11_08_1" localSheetId="7">#REF!</definedName>
    <definedName name="SG_11_08_1" localSheetId="3">#REF!</definedName>
    <definedName name="SG_11_08_1" localSheetId="11">#REF!</definedName>
    <definedName name="SG_11_08_1">[5]RESUMO!#REF!</definedName>
    <definedName name="SG_11_09" localSheetId="13">#REF!</definedName>
    <definedName name="SG_11_09" localSheetId="14">#REF!</definedName>
    <definedName name="SG_11_09" localSheetId="15">#REF!</definedName>
    <definedName name="SG_11_09" localSheetId="16">#REF!</definedName>
    <definedName name="SG_11_09" localSheetId="17">#REF!</definedName>
    <definedName name="SG_11_09" localSheetId="18">#REF!</definedName>
    <definedName name="SG_11_09" localSheetId="20">#REF!</definedName>
    <definedName name="SG_11_09" localSheetId="21">#REF!</definedName>
    <definedName name="SG_11_09" localSheetId="7">#REF!</definedName>
    <definedName name="SG_11_09" localSheetId="3">#REF!</definedName>
    <definedName name="SG_11_09" localSheetId="11">#REF!</definedName>
    <definedName name="SG_11_09">'[14]Planilha PROJETISTA'!#REF!</definedName>
    <definedName name="SG_11_09_1" localSheetId="13">#REF!</definedName>
    <definedName name="SG_11_09_1" localSheetId="14">#REF!</definedName>
    <definedName name="SG_11_09_1" localSheetId="15">#REF!</definedName>
    <definedName name="SG_11_09_1" localSheetId="16">#REF!</definedName>
    <definedName name="SG_11_09_1" localSheetId="17">#REF!</definedName>
    <definedName name="SG_11_09_1" localSheetId="18">#REF!</definedName>
    <definedName name="SG_11_09_1" localSheetId="20">#REF!</definedName>
    <definedName name="SG_11_09_1" localSheetId="21">#REF!</definedName>
    <definedName name="SG_11_09_1" localSheetId="7">#REF!</definedName>
    <definedName name="SG_11_09_1" localSheetId="3">#REF!</definedName>
    <definedName name="SG_11_09_1" localSheetId="11">#REF!</definedName>
    <definedName name="SG_11_09_1">[5]RESUMO!#REF!</definedName>
    <definedName name="SG_11_10" localSheetId="13">#REF!</definedName>
    <definedName name="SG_11_10" localSheetId="14">#REF!</definedName>
    <definedName name="SG_11_10" localSheetId="15">#REF!</definedName>
    <definedName name="SG_11_10" localSheetId="16">#REF!</definedName>
    <definedName name="SG_11_10" localSheetId="17">#REF!</definedName>
    <definedName name="SG_11_10" localSheetId="18">#REF!</definedName>
    <definedName name="SG_11_10" localSheetId="20">#REF!</definedName>
    <definedName name="SG_11_10" localSheetId="21">#REF!</definedName>
    <definedName name="SG_11_10" localSheetId="7">#REF!</definedName>
    <definedName name="SG_11_10" localSheetId="3">#REF!</definedName>
    <definedName name="SG_11_10" localSheetId="11">#REF!</definedName>
    <definedName name="SG_11_10">'[14]Planilha PROJETISTA'!#REF!</definedName>
    <definedName name="SG_11_10_1" localSheetId="13">#REF!</definedName>
    <definedName name="SG_11_10_1" localSheetId="14">#REF!</definedName>
    <definedName name="SG_11_10_1" localSheetId="15">#REF!</definedName>
    <definedName name="SG_11_10_1" localSheetId="16">#REF!</definedName>
    <definedName name="SG_11_10_1" localSheetId="17">#REF!</definedName>
    <definedName name="SG_11_10_1" localSheetId="18">#REF!</definedName>
    <definedName name="SG_11_10_1" localSheetId="20">#REF!</definedName>
    <definedName name="SG_11_10_1" localSheetId="21">#REF!</definedName>
    <definedName name="SG_11_10_1" localSheetId="7">#REF!</definedName>
    <definedName name="SG_11_10_1" localSheetId="3">#REF!</definedName>
    <definedName name="SG_11_10_1" localSheetId="11">#REF!</definedName>
    <definedName name="SG_11_10_1">[5]RESUMO!#REF!</definedName>
    <definedName name="SG_11_11" localSheetId="13">#REF!</definedName>
    <definedName name="SG_11_11" localSheetId="14">#REF!</definedName>
    <definedName name="SG_11_11" localSheetId="15">#REF!</definedName>
    <definedName name="SG_11_11" localSheetId="16">#REF!</definedName>
    <definedName name="SG_11_11" localSheetId="17">#REF!</definedName>
    <definedName name="SG_11_11" localSheetId="18">#REF!</definedName>
    <definedName name="SG_11_11" localSheetId="20">#REF!</definedName>
    <definedName name="SG_11_11" localSheetId="21">#REF!</definedName>
    <definedName name="SG_11_11" localSheetId="7">#REF!</definedName>
    <definedName name="SG_11_11" localSheetId="3">#REF!</definedName>
    <definedName name="SG_11_11" localSheetId="11">#REF!</definedName>
    <definedName name="SG_11_11">'[14]Planilha PROJETISTA'!#REF!</definedName>
    <definedName name="SG_11_11_1" localSheetId="13">#REF!</definedName>
    <definedName name="SG_11_11_1" localSheetId="14">#REF!</definedName>
    <definedName name="SG_11_11_1" localSheetId="15">#REF!</definedName>
    <definedName name="SG_11_11_1" localSheetId="16">#REF!</definedName>
    <definedName name="SG_11_11_1" localSheetId="17">#REF!</definedName>
    <definedName name="SG_11_11_1" localSheetId="18">#REF!</definedName>
    <definedName name="SG_11_11_1" localSheetId="20">#REF!</definedName>
    <definedName name="SG_11_11_1" localSheetId="21">#REF!</definedName>
    <definedName name="SG_11_11_1" localSheetId="7">#REF!</definedName>
    <definedName name="SG_11_11_1" localSheetId="3">#REF!</definedName>
    <definedName name="SG_11_11_1" localSheetId="11">#REF!</definedName>
    <definedName name="SG_11_11_1">[5]RESUMO!#REF!</definedName>
    <definedName name="SG_11_12" localSheetId="13">#REF!</definedName>
    <definedName name="SG_11_12" localSheetId="14">#REF!</definedName>
    <definedName name="SG_11_12" localSheetId="15">#REF!</definedName>
    <definedName name="SG_11_12" localSheetId="16">#REF!</definedName>
    <definedName name="SG_11_12" localSheetId="17">#REF!</definedName>
    <definedName name="SG_11_12" localSheetId="18">#REF!</definedName>
    <definedName name="SG_11_12" localSheetId="20">#REF!</definedName>
    <definedName name="SG_11_12" localSheetId="21">#REF!</definedName>
    <definedName name="SG_11_12" localSheetId="7">#REF!</definedName>
    <definedName name="SG_11_12" localSheetId="3">#REF!</definedName>
    <definedName name="SG_11_12" localSheetId="11">#REF!</definedName>
    <definedName name="SG_11_12">'[14]Planilha PROJETISTA'!#REF!</definedName>
    <definedName name="SG_11_12_1" localSheetId="13">#REF!</definedName>
    <definedName name="SG_11_12_1" localSheetId="14">#REF!</definedName>
    <definedName name="SG_11_12_1" localSheetId="15">#REF!</definedName>
    <definedName name="SG_11_12_1" localSheetId="16">#REF!</definedName>
    <definedName name="SG_11_12_1" localSheetId="17">#REF!</definedName>
    <definedName name="SG_11_12_1" localSheetId="18">#REF!</definedName>
    <definedName name="SG_11_12_1" localSheetId="20">#REF!</definedName>
    <definedName name="SG_11_12_1" localSheetId="21">#REF!</definedName>
    <definedName name="SG_11_12_1" localSheetId="7">#REF!</definedName>
    <definedName name="SG_11_12_1" localSheetId="3">#REF!</definedName>
    <definedName name="SG_11_12_1" localSheetId="11">#REF!</definedName>
    <definedName name="SG_11_12_1">[5]RESUMO!#REF!</definedName>
    <definedName name="SG_11_13" localSheetId="13">#REF!</definedName>
    <definedName name="SG_11_13" localSheetId="14">#REF!</definedName>
    <definedName name="SG_11_13" localSheetId="15">#REF!</definedName>
    <definedName name="SG_11_13" localSheetId="16">#REF!</definedName>
    <definedName name="SG_11_13" localSheetId="17">#REF!</definedName>
    <definedName name="SG_11_13" localSheetId="18">#REF!</definedName>
    <definedName name="SG_11_13" localSheetId="20">#REF!</definedName>
    <definedName name="SG_11_13" localSheetId="21">#REF!</definedName>
    <definedName name="SG_11_13" localSheetId="7">#REF!</definedName>
    <definedName name="SG_11_13" localSheetId="3">#REF!</definedName>
    <definedName name="SG_11_13" localSheetId="11">#REF!</definedName>
    <definedName name="SG_11_13">'[14]Planilha PROJETISTA'!#REF!</definedName>
    <definedName name="SG_11_13_1" localSheetId="13">#REF!</definedName>
    <definedName name="SG_11_13_1" localSheetId="14">#REF!</definedName>
    <definedName name="SG_11_13_1" localSheetId="15">#REF!</definedName>
    <definedName name="SG_11_13_1" localSheetId="16">#REF!</definedName>
    <definedName name="SG_11_13_1" localSheetId="17">#REF!</definedName>
    <definedName name="SG_11_13_1" localSheetId="18">#REF!</definedName>
    <definedName name="SG_11_13_1" localSheetId="20">#REF!</definedName>
    <definedName name="SG_11_13_1" localSheetId="21">#REF!</definedName>
    <definedName name="SG_11_13_1" localSheetId="7">#REF!</definedName>
    <definedName name="SG_11_13_1" localSheetId="3">#REF!</definedName>
    <definedName name="SG_11_13_1" localSheetId="11">#REF!</definedName>
    <definedName name="SG_11_13_1">[5]RESUMO!#REF!</definedName>
    <definedName name="SG_11_14" localSheetId="13">#REF!</definedName>
    <definedName name="SG_11_14" localSheetId="14">#REF!</definedName>
    <definedName name="SG_11_14" localSheetId="15">#REF!</definedName>
    <definedName name="SG_11_14" localSheetId="16">#REF!</definedName>
    <definedName name="SG_11_14" localSheetId="17">#REF!</definedName>
    <definedName name="SG_11_14" localSheetId="18">#REF!</definedName>
    <definedName name="SG_11_14" localSheetId="20">#REF!</definedName>
    <definedName name="SG_11_14" localSheetId="21">#REF!</definedName>
    <definedName name="SG_11_14" localSheetId="7">#REF!</definedName>
    <definedName name="SG_11_14" localSheetId="3">#REF!</definedName>
    <definedName name="SG_11_14" localSheetId="11">#REF!</definedName>
    <definedName name="SG_11_14">'[14]Planilha PROJETISTA'!#REF!</definedName>
    <definedName name="SG_11_14_1" localSheetId="13">#REF!</definedName>
    <definedName name="SG_11_14_1" localSheetId="14">#REF!</definedName>
    <definedName name="SG_11_14_1" localSheetId="15">#REF!</definedName>
    <definedName name="SG_11_14_1" localSheetId="16">#REF!</definedName>
    <definedName name="SG_11_14_1" localSheetId="17">#REF!</definedName>
    <definedName name="SG_11_14_1" localSheetId="18">#REF!</definedName>
    <definedName name="SG_11_14_1" localSheetId="20">#REF!</definedName>
    <definedName name="SG_11_14_1" localSheetId="21">#REF!</definedName>
    <definedName name="SG_11_14_1" localSheetId="7">#REF!</definedName>
    <definedName name="SG_11_14_1" localSheetId="3">#REF!</definedName>
    <definedName name="SG_11_14_1" localSheetId="11">#REF!</definedName>
    <definedName name="SG_11_14_1">[5]RESUMO!#REF!</definedName>
    <definedName name="SG_11_15" localSheetId="13">#REF!</definedName>
    <definedName name="SG_11_15" localSheetId="14">#REF!</definedName>
    <definedName name="SG_11_15" localSheetId="15">#REF!</definedName>
    <definedName name="SG_11_15" localSheetId="16">#REF!</definedName>
    <definedName name="SG_11_15" localSheetId="17">#REF!</definedName>
    <definedName name="SG_11_15" localSheetId="18">#REF!</definedName>
    <definedName name="SG_11_15" localSheetId="20">#REF!</definedName>
    <definedName name="SG_11_15" localSheetId="21">#REF!</definedName>
    <definedName name="SG_11_15" localSheetId="7">#REF!</definedName>
    <definedName name="SG_11_15" localSheetId="3">#REF!</definedName>
    <definedName name="SG_11_15" localSheetId="11">#REF!</definedName>
    <definedName name="SG_11_15">'[14]Planilha PROJETISTA'!#REF!</definedName>
    <definedName name="SG_11_15_1" localSheetId="13">#REF!</definedName>
    <definedName name="SG_11_15_1" localSheetId="14">#REF!</definedName>
    <definedName name="SG_11_15_1" localSheetId="15">#REF!</definedName>
    <definedName name="SG_11_15_1" localSheetId="16">#REF!</definedName>
    <definedName name="SG_11_15_1" localSheetId="17">#REF!</definedName>
    <definedName name="SG_11_15_1" localSheetId="18">#REF!</definedName>
    <definedName name="SG_11_15_1" localSheetId="20">#REF!</definedName>
    <definedName name="SG_11_15_1" localSheetId="21">#REF!</definedName>
    <definedName name="SG_11_15_1" localSheetId="7">#REF!</definedName>
    <definedName name="SG_11_15_1" localSheetId="3">#REF!</definedName>
    <definedName name="SG_11_15_1" localSheetId="11">#REF!</definedName>
    <definedName name="SG_11_15_1">[5]RESUMO!#REF!</definedName>
    <definedName name="SG_11_16" localSheetId="13">#REF!</definedName>
    <definedName name="SG_11_16" localSheetId="14">#REF!</definedName>
    <definedName name="SG_11_16" localSheetId="15">#REF!</definedName>
    <definedName name="SG_11_16" localSheetId="16">#REF!</definedName>
    <definedName name="SG_11_16" localSheetId="17">#REF!</definedName>
    <definedName name="SG_11_16" localSheetId="18">#REF!</definedName>
    <definedName name="SG_11_16" localSheetId="20">#REF!</definedName>
    <definedName name="SG_11_16" localSheetId="21">#REF!</definedName>
    <definedName name="SG_11_16" localSheetId="7">#REF!</definedName>
    <definedName name="SG_11_16" localSheetId="3">#REF!</definedName>
    <definedName name="SG_11_16" localSheetId="11">#REF!</definedName>
    <definedName name="SG_11_16">'[14]Planilha PROJETISTA'!#REF!</definedName>
    <definedName name="SG_11_16_1" localSheetId="13">#REF!</definedName>
    <definedName name="SG_11_16_1" localSheetId="14">#REF!</definedName>
    <definedName name="SG_11_16_1" localSheetId="15">#REF!</definedName>
    <definedName name="SG_11_16_1" localSheetId="16">#REF!</definedName>
    <definedName name="SG_11_16_1" localSheetId="17">#REF!</definedName>
    <definedName name="SG_11_16_1" localSheetId="18">#REF!</definedName>
    <definedName name="SG_11_16_1" localSheetId="20">#REF!</definedName>
    <definedName name="SG_11_16_1" localSheetId="21">#REF!</definedName>
    <definedName name="SG_11_16_1" localSheetId="7">#REF!</definedName>
    <definedName name="SG_11_16_1" localSheetId="3">#REF!</definedName>
    <definedName name="SG_11_16_1" localSheetId="11">#REF!</definedName>
    <definedName name="SG_11_16_1">[5]RESUMO!#REF!</definedName>
    <definedName name="SG_11_17" localSheetId="13">#REF!</definedName>
    <definedName name="SG_11_17" localSheetId="14">#REF!</definedName>
    <definedName name="SG_11_17" localSheetId="15">#REF!</definedName>
    <definedName name="SG_11_17" localSheetId="16">#REF!</definedName>
    <definedName name="SG_11_17" localSheetId="17">#REF!</definedName>
    <definedName name="SG_11_17" localSheetId="18">#REF!</definedName>
    <definedName name="SG_11_17" localSheetId="20">#REF!</definedName>
    <definedName name="SG_11_17" localSheetId="21">#REF!</definedName>
    <definedName name="SG_11_17" localSheetId="7">#REF!</definedName>
    <definedName name="SG_11_17" localSheetId="3">#REF!</definedName>
    <definedName name="SG_11_17" localSheetId="11">#REF!</definedName>
    <definedName name="SG_11_17">'[14]Planilha PROJETISTA'!#REF!</definedName>
    <definedName name="SG_11_17_1" localSheetId="13">#REF!</definedName>
    <definedName name="SG_11_17_1" localSheetId="14">#REF!</definedName>
    <definedName name="SG_11_17_1" localSheetId="15">#REF!</definedName>
    <definedName name="SG_11_17_1" localSheetId="16">#REF!</definedName>
    <definedName name="SG_11_17_1" localSheetId="17">#REF!</definedName>
    <definedName name="SG_11_17_1" localSheetId="18">#REF!</definedName>
    <definedName name="SG_11_17_1" localSheetId="20">#REF!</definedName>
    <definedName name="SG_11_17_1" localSheetId="21">#REF!</definedName>
    <definedName name="SG_11_17_1" localSheetId="7">#REF!</definedName>
    <definedName name="SG_11_17_1" localSheetId="3">#REF!</definedName>
    <definedName name="SG_11_17_1" localSheetId="11">#REF!</definedName>
    <definedName name="SG_11_17_1">[5]RESUMO!#REF!</definedName>
    <definedName name="SG_11_18" localSheetId="13">#REF!</definedName>
    <definedName name="SG_11_18" localSheetId="14">#REF!</definedName>
    <definedName name="SG_11_18" localSheetId="15">#REF!</definedName>
    <definedName name="SG_11_18" localSheetId="16">#REF!</definedName>
    <definedName name="SG_11_18" localSheetId="17">#REF!</definedName>
    <definedName name="SG_11_18" localSheetId="18">#REF!</definedName>
    <definedName name="SG_11_18" localSheetId="20">#REF!</definedName>
    <definedName name="SG_11_18" localSheetId="21">#REF!</definedName>
    <definedName name="SG_11_18" localSheetId="7">#REF!</definedName>
    <definedName name="SG_11_18" localSheetId="3">#REF!</definedName>
    <definedName name="SG_11_18" localSheetId="11">#REF!</definedName>
    <definedName name="SG_11_18">'[14]Planilha PROJETISTA'!#REF!</definedName>
    <definedName name="SG_11_18_1" localSheetId="13">#REF!</definedName>
    <definedName name="SG_11_18_1" localSheetId="14">#REF!</definedName>
    <definedName name="SG_11_18_1" localSheetId="15">#REF!</definedName>
    <definedName name="SG_11_18_1" localSheetId="16">#REF!</definedName>
    <definedName name="SG_11_18_1" localSheetId="17">#REF!</definedName>
    <definedName name="SG_11_18_1" localSheetId="18">#REF!</definedName>
    <definedName name="SG_11_18_1" localSheetId="20">#REF!</definedName>
    <definedName name="SG_11_18_1" localSheetId="21">#REF!</definedName>
    <definedName name="SG_11_18_1" localSheetId="7">#REF!</definedName>
    <definedName name="SG_11_18_1" localSheetId="3">#REF!</definedName>
    <definedName name="SG_11_18_1" localSheetId="11">#REF!</definedName>
    <definedName name="SG_11_18_1">[5]RESUMO!#REF!</definedName>
    <definedName name="SG_11_19" localSheetId="13">#REF!</definedName>
    <definedName name="SG_11_19" localSheetId="14">#REF!</definedName>
    <definedName name="SG_11_19" localSheetId="15">#REF!</definedName>
    <definedName name="SG_11_19" localSheetId="16">#REF!</definedName>
    <definedName name="SG_11_19" localSheetId="17">#REF!</definedName>
    <definedName name="SG_11_19" localSheetId="18">#REF!</definedName>
    <definedName name="SG_11_19" localSheetId="20">#REF!</definedName>
    <definedName name="SG_11_19" localSheetId="21">#REF!</definedName>
    <definedName name="SG_11_19" localSheetId="7">#REF!</definedName>
    <definedName name="SG_11_19" localSheetId="3">#REF!</definedName>
    <definedName name="SG_11_19" localSheetId="11">#REF!</definedName>
    <definedName name="SG_11_19">'[14]Planilha PROJETISTA'!#REF!</definedName>
    <definedName name="SG_11_19_1" localSheetId="13">#REF!</definedName>
    <definedName name="SG_11_19_1" localSheetId="14">#REF!</definedName>
    <definedName name="SG_11_19_1" localSheetId="15">#REF!</definedName>
    <definedName name="SG_11_19_1" localSheetId="16">#REF!</definedName>
    <definedName name="SG_11_19_1" localSheetId="17">#REF!</definedName>
    <definedName name="SG_11_19_1" localSheetId="18">#REF!</definedName>
    <definedName name="SG_11_19_1" localSheetId="20">#REF!</definedName>
    <definedName name="SG_11_19_1" localSheetId="21">#REF!</definedName>
    <definedName name="SG_11_19_1" localSheetId="7">#REF!</definedName>
    <definedName name="SG_11_19_1" localSheetId="3">#REF!</definedName>
    <definedName name="SG_11_19_1" localSheetId="11">#REF!</definedName>
    <definedName name="SG_11_19_1">[5]RESUMO!#REF!</definedName>
    <definedName name="SG_11_20" localSheetId="13">#REF!</definedName>
    <definedName name="SG_11_20" localSheetId="14">#REF!</definedName>
    <definedName name="SG_11_20" localSheetId="15">#REF!</definedName>
    <definedName name="SG_11_20" localSheetId="16">#REF!</definedName>
    <definedName name="SG_11_20" localSheetId="17">#REF!</definedName>
    <definedName name="SG_11_20" localSheetId="18">#REF!</definedName>
    <definedName name="SG_11_20" localSheetId="20">#REF!</definedName>
    <definedName name="SG_11_20" localSheetId="21">#REF!</definedName>
    <definedName name="SG_11_20" localSheetId="7">#REF!</definedName>
    <definedName name="SG_11_20" localSheetId="3">#REF!</definedName>
    <definedName name="SG_11_20" localSheetId="11">#REF!</definedName>
    <definedName name="SG_11_20">'[14]Planilha PROJETISTA'!#REF!</definedName>
    <definedName name="SG_11_20_1" localSheetId="13">#REF!</definedName>
    <definedName name="SG_11_20_1" localSheetId="14">#REF!</definedName>
    <definedName name="SG_11_20_1" localSheetId="15">#REF!</definedName>
    <definedName name="SG_11_20_1" localSheetId="16">#REF!</definedName>
    <definedName name="SG_11_20_1" localSheetId="17">#REF!</definedName>
    <definedName name="SG_11_20_1" localSheetId="18">#REF!</definedName>
    <definedName name="SG_11_20_1" localSheetId="20">#REF!</definedName>
    <definedName name="SG_11_20_1" localSheetId="21">#REF!</definedName>
    <definedName name="SG_11_20_1" localSheetId="7">#REF!</definedName>
    <definedName name="SG_11_20_1" localSheetId="3">#REF!</definedName>
    <definedName name="SG_11_20_1" localSheetId="11">#REF!</definedName>
    <definedName name="SG_11_20_1">[5]RESUMO!#REF!</definedName>
    <definedName name="SG_12_01_1" localSheetId="13">#REF!</definedName>
    <definedName name="SG_12_01_1" localSheetId="14">#REF!</definedName>
    <definedName name="SG_12_01_1" localSheetId="15">#REF!</definedName>
    <definedName name="SG_12_01_1" localSheetId="16">#REF!</definedName>
    <definedName name="SG_12_01_1" localSheetId="17">#REF!</definedName>
    <definedName name="SG_12_01_1" localSheetId="18">#REF!</definedName>
    <definedName name="SG_12_01_1" localSheetId="20">#REF!</definedName>
    <definedName name="SG_12_01_1" localSheetId="21">#REF!</definedName>
    <definedName name="SG_12_01_1" localSheetId="7">#REF!</definedName>
    <definedName name="SG_12_01_1" localSheetId="3">#REF!</definedName>
    <definedName name="SG_12_01_1" localSheetId="11">#REF!</definedName>
    <definedName name="SG_12_01_1">[5]RESUMO!#REF!</definedName>
    <definedName name="SG_12_02_1" localSheetId="13">#REF!</definedName>
    <definedName name="SG_12_02_1" localSheetId="14">#REF!</definedName>
    <definedName name="SG_12_02_1" localSheetId="15">#REF!</definedName>
    <definedName name="SG_12_02_1" localSheetId="16">#REF!</definedName>
    <definedName name="SG_12_02_1" localSheetId="17">#REF!</definedName>
    <definedName name="SG_12_02_1" localSheetId="18">#REF!</definedName>
    <definedName name="SG_12_02_1" localSheetId="20">#REF!</definedName>
    <definedName name="SG_12_02_1" localSheetId="21">#REF!</definedName>
    <definedName name="SG_12_02_1" localSheetId="7">#REF!</definedName>
    <definedName name="SG_12_02_1" localSheetId="3">#REF!</definedName>
    <definedName name="SG_12_02_1" localSheetId="11">#REF!</definedName>
    <definedName name="SG_12_02_1">[5]RESUMO!#REF!</definedName>
    <definedName name="SG_12_03_1" localSheetId="13">#REF!</definedName>
    <definedName name="SG_12_03_1" localSheetId="14">#REF!</definedName>
    <definedName name="SG_12_03_1" localSheetId="15">#REF!</definedName>
    <definedName name="SG_12_03_1" localSheetId="16">#REF!</definedName>
    <definedName name="SG_12_03_1" localSheetId="17">#REF!</definedName>
    <definedName name="SG_12_03_1" localSheetId="18">#REF!</definedName>
    <definedName name="SG_12_03_1" localSheetId="20">#REF!</definedName>
    <definedName name="SG_12_03_1" localSheetId="21">#REF!</definedName>
    <definedName name="SG_12_03_1" localSheetId="7">#REF!</definedName>
    <definedName name="SG_12_03_1" localSheetId="3">#REF!</definedName>
    <definedName name="SG_12_03_1" localSheetId="11">#REF!</definedName>
    <definedName name="SG_12_03_1">[5]RESUMO!#REF!</definedName>
    <definedName name="SG_12_04_1" localSheetId="13">#REF!</definedName>
    <definedName name="SG_12_04_1" localSheetId="14">#REF!</definedName>
    <definedName name="SG_12_04_1" localSheetId="15">#REF!</definedName>
    <definedName name="SG_12_04_1" localSheetId="16">#REF!</definedName>
    <definedName name="SG_12_04_1" localSheetId="17">#REF!</definedName>
    <definedName name="SG_12_04_1" localSheetId="18">#REF!</definedName>
    <definedName name="SG_12_04_1" localSheetId="20">#REF!</definedName>
    <definedName name="SG_12_04_1" localSheetId="21">#REF!</definedName>
    <definedName name="SG_12_04_1" localSheetId="7">#REF!</definedName>
    <definedName name="SG_12_04_1" localSheetId="3">#REF!</definedName>
    <definedName name="SG_12_04_1" localSheetId="11">#REF!</definedName>
    <definedName name="SG_12_04_1">[5]RESUMO!#REF!</definedName>
    <definedName name="SG_12_05_1" localSheetId="13">#REF!</definedName>
    <definedName name="SG_12_05_1" localSheetId="14">#REF!</definedName>
    <definedName name="SG_12_05_1" localSheetId="15">#REF!</definedName>
    <definedName name="SG_12_05_1" localSheetId="16">#REF!</definedName>
    <definedName name="SG_12_05_1" localSheetId="17">#REF!</definedName>
    <definedName name="SG_12_05_1" localSheetId="18">#REF!</definedName>
    <definedName name="SG_12_05_1" localSheetId="20">#REF!</definedName>
    <definedName name="SG_12_05_1" localSheetId="21">#REF!</definedName>
    <definedName name="SG_12_05_1" localSheetId="7">#REF!</definedName>
    <definedName name="SG_12_05_1" localSheetId="3">#REF!</definedName>
    <definedName name="SG_12_05_1" localSheetId="11">#REF!</definedName>
    <definedName name="SG_12_05_1">[5]RESUMO!#REF!</definedName>
    <definedName name="SG_12_06_1" localSheetId="13">#REF!</definedName>
    <definedName name="SG_12_06_1" localSheetId="14">#REF!</definedName>
    <definedName name="SG_12_06_1" localSheetId="15">#REF!</definedName>
    <definedName name="SG_12_06_1" localSheetId="16">#REF!</definedName>
    <definedName name="SG_12_06_1" localSheetId="17">#REF!</definedName>
    <definedName name="SG_12_06_1" localSheetId="18">#REF!</definedName>
    <definedName name="SG_12_06_1" localSheetId="20">#REF!</definedName>
    <definedName name="SG_12_06_1" localSheetId="21">#REF!</definedName>
    <definedName name="SG_12_06_1" localSheetId="7">#REF!</definedName>
    <definedName name="SG_12_06_1" localSheetId="3">#REF!</definedName>
    <definedName name="SG_12_06_1" localSheetId="11">#REF!</definedName>
    <definedName name="SG_12_06_1">[5]RESUMO!#REF!</definedName>
    <definedName name="SG_12_07_1" localSheetId="13">#REF!</definedName>
    <definedName name="SG_12_07_1" localSheetId="14">#REF!</definedName>
    <definedName name="SG_12_07_1" localSheetId="15">#REF!</definedName>
    <definedName name="SG_12_07_1" localSheetId="16">#REF!</definedName>
    <definedName name="SG_12_07_1" localSheetId="17">#REF!</definedName>
    <definedName name="SG_12_07_1" localSheetId="18">#REF!</definedName>
    <definedName name="SG_12_07_1" localSheetId="20">#REF!</definedName>
    <definedName name="SG_12_07_1" localSheetId="21">#REF!</definedName>
    <definedName name="SG_12_07_1" localSheetId="7">#REF!</definedName>
    <definedName name="SG_12_07_1" localSheetId="3">#REF!</definedName>
    <definedName name="SG_12_07_1" localSheetId="11">#REF!</definedName>
    <definedName name="SG_12_07_1">[5]RESUMO!#REF!</definedName>
    <definedName name="SG_12_08" localSheetId="13">#REF!</definedName>
    <definedName name="SG_12_08" localSheetId="14">#REF!</definedName>
    <definedName name="SG_12_08" localSheetId="15">#REF!</definedName>
    <definedName name="SG_12_08" localSheetId="16">#REF!</definedName>
    <definedName name="SG_12_08" localSheetId="17">#REF!</definedName>
    <definedName name="SG_12_08" localSheetId="18">#REF!</definedName>
    <definedName name="SG_12_08" localSheetId="20">#REF!</definedName>
    <definedName name="SG_12_08" localSheetId="21">#REF!</definedName>
    <definedName name="SG_12_08" localSheetId="7">#REF!</definedName>
    <definedName name="SG_12_08" localSheetId="3">#REF!</definedName>
    <definedName name="SG_12_08" localSheetId="11">#REF!</definedName>
    <definedName name="SG_12_08">'[14]Planilha PROJETISTA'!#REF!</definedName>
    <definedName name="SG_12_08_1" localSheetId="13">#REF!</definedName>
    <definedName name="SG_12_08_1" localSheetId="14">#REF!</definedName>
    <definedName name="SG_12_08_1" localSheetId="15">#REF!</definedName>
    <definedName name="SG_12_08_1" localSheetId="16">#REF!</definedName>
    <definedName name="SG_12_08_1" localSheetId="17">#REF!</definedName>
    <definedName name="SG_12_08_1" localSheetId="18">#REF!</definedName>
    <definedName name="SG_12_08_1" localSheetId="20">#REF!</definedName>
    <definedName name="SG_12_08_1" localSheetId="21">#REF!</definedName>
    <definedName name="SG_12_08_1" localSheetId="7">#REF!</definedName>
    <definedName name="SG_12_08_1" localSheetId="3">#REF!</definedName>
    <definedName name="SG_12_08_1" localSheetId="11">#REF!</definedName>
    <definedName name="SG_12_08_1">[5]RESUMO!#REF!</definedName>
    <definedName name="SG_12_09" localSheetId="13">#REF!</definedName>
    <definedName name="SG_12_09" localSheetId="14">#REF!</definedName>
    <definedName name="SG_12_09" localSheetId="15">#REF!</definedName>
    <definedName name="SG_12_09" localSheetId="16">#REF!</definedName>
    <definedName name="SG_12_09" localSheetId="17">#REF!</definedName>
    <definedName name="SG_12_09" localSheetId="18">#REF!</definedName>
    <definedName name="SG_12_09" localSheetId="20">#REF!</definedName>
    <definedName name="SG_12_09" localSheetId="21">#REF!</definedName>
    <definedName name="SG_12_09" localSheetId="7">#REF!</definedName>
    <definedName name="SG_12_09" localSheetId="3">#REF!</definedName>
    <definedName name="SG_12_09" localSheetId="11">#REF!</definedName>
    <definedName name="SG_12_09">'[14]Planilha PROJETISTA'!#REF!</definedName>
    <definedName name="SG_12_09_1" localSheetId="13">#REF!</definedName>
    <definedName name="SG_12_09_1" localSheetId="14">#REF!</definedName>
    <definedName name="SG_12_09_1" localSheetId="15">#REF!</definedName>
    <definedName name="SG_12_09_1" localSheetId="16">#REF!</definedName>
    <definedName name="SG_12_09_1" localSheetId="17">#REF!</definedName>
    <definedName name="SG_12_09_1" localSheetId="18">#REF!</definedName>
    <definedName name="SG_12_09_1" localSheetId="20">#REF!</definedName>
    <definedName name="SG_12_09_1" localSheetId="21">#REF!</definedName>
    <definedName name="SG_12_09_1" localSheetId="7">#REF!</definedName>
    <definedName name="SG_12_09_1" localSheetId="3">#REF!</definedName>
    <definedName name="SG_12_09_1" localSheetId="11">#REF!</definedName>
    <definedName name="SG_12_09_1">[5]RESUMO!#REF!</definedName>
    <definedName name="SG_12_10" localSheetId="13">#REF!</definedName>
    <definedName name="SG_12_10" localSheetId="14">#REF!</definedName>
    <definedName name="SG_12_10" localSheetId="15">#REF!</definedName>
    <definedName name="SG_12_10" localSheetId="16">#REF!</definedName>
    <definedName name="SG_12_10" localSheetId="17">#REF!</definedName>
    <definedName name="SG_12_10" localSheetId="18">#REF!</definedName>
    <definedName name="SG_12_10" localSheetId="20">#REF!</definedName>
    <definedName name="SG_12_10" localSheetId="21">#REF!</definedName>
    <definedName name="SG_12_10" localSheetId="7">#REF!</definedName>
    <definedName name="SG_12_10" localSheetId="3">#REF!</definedName>
    <definedName name="SG_12_10" localSheetId="11">#REF!</definedName>
    <definedName name="SG_12_10">'[14]Planilha PROJETISTA'!#REF!</definedName>
    <definedName name="SG_12_10_1" localSheetId="13">#REF!</definedName>
    <definedName name="SG_12_10_1" localSheetId="14">#REF!</definedName>
    <definedName name="SG_12_10_1" localSheetId="15">#REF!</definedName>
    <definedName name="SG_12_10_1" localSheetId="16">#REF!</definedName>
    <definedName name="SG_12_10_1" localSheetId="17">#REF!</definedName>
    <definedName name="SG_12_10_1" localSheetId="18">#REF!</definedName>
    <definedName name="SG_12_10_1" localSheetId="20">#REF!</definedName>
    <definedName name="SG_12_10_1" localSheetId="21">#REF!</definedName>
    <definedName name="SG_12_10_1" localSheetId="7">#REF!</definedName>
    <definedName name="SG_12_10_1" localSheetId="3">#REF!</definedName>
    <definedName name="SG_12_10_1" localSheetId="11">#REF!</definedName>
    <definedName name="SG_12_10_1">[5]RESUMO!#REF!</definedName>
    <definedName name="SG_12_11" localSheetId="13">#REF!</definedName>
    <definedName name="SG_12_11" localSheetId="14">#REF!</definedName>
    <definedName name="SG_12_11" localSheetId="15">#REF!</definedName>
    <definedName name="SG_12_11" localSheetId="16">#REF!</definedName>
    <definedName name="SG_12_11" localSheetId="17">#REF!</definedName>
    <definedName name="SG_12_11" localSheetId="18">#REF!</definedName>
    <definedName name="SG_12_11" localSheetId="20">#REF!</definedName>
    <definedName name="SG_12_11" localSheetId="21">#REF!</definedName>
    <definedName name="SG_12_11" localSheetId="7">#REF!</definedName>
    <definedName name="SG_12_11" localSheetId="3">#REF!</definedName>
    <definedName name="SG_12_11" localSheetId="11">#REF!</definedName>
    <definedName name="SG_12_11">'[14]Planilha PROJETISTA'!#REF!</definedName>
    <definedName name="SG_12_11_1" localSheetId="13">#REF!</definedName>
    <definedName name="SG_12_11_1" localSheetId="14">#REF!</definedName>
    <definedName name="SG_12_11_1" localSheetId="15">#REF!</definedName>
    <definedName name="SG_12_11_1" localSheetId="16">#REF!</definedName>
    <definedName name="SG_12_11_1" localSheetId="17">#REF!</definedName>
    <definedName name="SG_12_11_1" localSheetId="18">#REF!</definedName>
    <definedName name="SG_12_11_1" localSheetId="20">#REF!</definedName>
    <definedName name="SG_12_11_1" localSheetId="21">#REF!</definedName>
    <definedName name="SG_12_11_1" localSheetId="7">#REF!</definedName>
    <definedName name="SG_12_11_1" localSheetId="3">#REF!</definedName>
    <definedName name="SG_12_11_1" localSheetId="11">#REF!</definedName>
    <definedName name="SG_12_11_1">[5]RESUMO!#REF!</definedName>
    <definedName name="SG_12_12" localSheetId="13">#REF!</definedName>
    <definedName name="SG_12_12" localSheetId="14">#REF!</definedName>
    <definedName name="SG_12_12" localSheetId="15">#REF!</definedName>
    <definedName name="SG_12_12" localSheetId="16">#REF!</definedName>
    <definedName name="SG_12_12" localSheetId="17">#REF!</definedName>
    <definedName name="SG_12_12" localSheetId="18">#REF!</definedName>
    <definedName name="SG_12_12" localSheetId="20">#REF!</definedName>
    <definedName name="SG_12_12" localSheetId="21">#REF!</definedName>
    <definedName name="SG_12_12" localSheetId="7">#REF!</definedName>
    <definedName name="SG_12_12" localSheetId="3">#REF!</definedName>
    <definedName name="SG_12_12" localSheetId="11">#REF!</definedName>
    <definedName name="SG_12_12">'[14]Planilha PROJETISTA'!#REF!</definedName>
    <definedName name="SG_12_12_1" localSheetId="13">#REF!</definedName>
    <definedName name="SG_12_12_1" localSheetId="14">#REF!</definedName>
    <definedName name="SG_12_12_1" localSheetId="15">#REF!</definedName>
    <definedName name="SG_12_12_1" localSheetId="16">#REF!</definedName>
    <definedName name="SG_12_12_1" localSheetId="17">#REF!</definedName>
    <definedName name="SG_12_12_1" localSheetId="18">#REF!</definedName>
    <definedName name="SG_12_12_1" localSheetId="20">#REF!</definedName>
    <definedName name="SG_12_12_1" localSheetId="21">#REF!</definedName>
    <definedName name="SG_12_12_1" localSheetId="7">#REF!</definedName>
    <definedName name="SG_12_12_1" localSheetId="3">#REF!</definedName>
    <definedName name="SG_12_12_1" localSheetId="11">#REF!</definedName>
    <definedName name="SG_12_12_1">[5]RESUMO!#REF!</definedName>
    <definedName name="SG_12_13" localSheetId="13">#REF!</definedName>
    <definedName name="SG_12_13" localSheetId="14">#REF!</definedName>
    <definedName name="SG_12_13" localSheetId="15">#REF!</definedName>
    <definedName name="SG_12_13" localSheetId="16">#REF!</definedName>
    <definedName name="SG_12_13" localSheetId="17">#REF!</definedName>
    <definedName name="SG_12_13" localSheetId="18">#REF!</definedName>
    <definedName name="SG_12_13" localSheetId="20">#REF!</definedName>
    <definedName name="SG_12_13" localSheetId="21">#REF!</definedName>
    <definedName name="SG_12_13" localSheetId="7">#REF!</definedName>
    <definedName name="SG_12_13" localSheetId="3">#REF!</definedName>
    <definedName name="SG_12_13" localSheetId="11">#REF!</definedName>
    <definedName name="SG_12_13">'[14]Planilha PROJETISTA'!#REF!</definedName>
    <definedName name="SG_12_13_1" localSheetId="13">#REF!</definedName>
    <definedName name="SG_12_13_1" localSheetId="14">#REF!</definedName>
    <definedName name="SG_12_13_1" localSheetId="15">#REF!</definedName>
    <definedName name="SG_12_13_1" localSheetId="16">#REF!</definedName>
    <definedName name="SG_12_13_1" localSheetId="17">#REF!</definedName>
    <definedName name="SG_12_13_1" localSheetId="18">#REF!</definedName>
    <definedName name="SG_12_13_1" localSheetId="20">#REF!</definedName>
    <definedName name="SG_12_13_1" localSheetId="21">#REF!</definedName>
    <definedName name="SG_12_13_1" localSheetId="7">#REF!</definedName>
    <definedName name="SG_12_13_1" localSheetId="3">#REF!</definedName>
    <definedName name="SG_12_13_1" localSheetId="11">#REF!</definedName>
    <definedName name="SG_12_13_1">[5]RESUMO!#REF!</definedName>
    <definedName name="SG_12_14" localSheetId="13">#REF!</definedName>
    <definedName name="SG_12_14" localSheetId="14">#REF!</definedName>
    <definedName name="SG_12_14" localSheetId="15">#REF!</definedName>
    <definedName name="SG_12_14" localSheetId="16">#REF!</definedName>
    <definedName name="SG_12_14" localSheetId="17">#REF!</definedName>
    <definedName name="SG_12_14" localSheetId="18">#REF!</definedName>
    <definedName name="SG_12_14" localSheetId="20">#REF!</definedName>
    <definedName name="SG_12_14" localSheetId="21">#REF!</definedName>
    <definedName name="SG_12_14" localSheetId="7">#REF!</definedName>
    <definedName name="SG_12_14" localSheetId="3">#REF!</definedName>
    <definedName name="SG_12_14" localSheetId="11">#REF!</definedName>
    <definedName name="SG_12_14">'[14]Planilha PROJETISTA'!#REF!</definedName>
    <definedName name="SG_12_14_1" localSheetId="13">#REF!</definedName>
    <definedName name="SG_12_14_1" localSheetId="14">#REF!</definedName>
    <definedName name="SG_12_14_1" localSheetId="15">#REF!</definedName>
    <definedName name="SG_12_14_1" localSheetId="16">#REF!</definedName>
    <definedName name="SG_12_14_1" localSheetId="17">#REF!</definedName>
    <definedName name="SG_12_14_1" localSheetId="18">#REF!</definedName>
    <definedName name="SG_12_14_1" localSheetId="20">#REF!</definedName>
    <definedName name="SG_12_14_1" localSheetId="21">#REF!</definedName>
    <definedName name="SG_12_14_1" localSheetId="7">#REF!</definedName>
    <definedName name="SG_12_14_1" localSheetId="3">#REF!</definedName>
    <definedName name="SG_12_14_1" localSheetId="11">#REF!</definedName>
    <definedName name="SG_12_14_1">[5]RESUMO!#REF!</definedName>
    <definedName name="SG_12_15" localSheetId="13">#REF!</definedName>
    <definedName name="SG_12_15" localSheetId="14">#REF!</definedName>
    <definedName name="SG_12_15" localSheetId="15">#REF!</definedName>
    <definedName name="SG_12_15" localSheetId="16">#REF!</definedName>
    <definedName name="SG_12_15" localSheetId="17">#REF!</definedName>
    <definedName name="SG_12_15" localSheetId="18">#REF!</definedName>
    <definedName name="SG_12_15" localSheetId="20">#REF!</definedName>
    <definedName name="SG_12_15" localSheetId="21">#REF!</definedName>
    <definedName name="SG_12_15" localSheetId="7">#REF!</definedName>
    <definedName name="SG_12_15" localSheetId="3">#REF!</definedName>
    <definedName name="SG_12_15" localSheetId="11">#REF!</definedName>
    <definedName name="SG_12_15">'[14]Planilha PROJETISTA'!#REF!</definedName>
    <definedName name="SG_12_15_1" localSheetId="13">#REF!</definedName>
    <definedName name="SG_12_15_1" localSheetId="14">#REF!</definedName>
    <definedName name="SG_12_15_1" localSheetId="15">#REF!</definedName>
    <definedName name="SG_12_15_1" localSheetId="16">#REF!</definedName>
    <definedName name="SG_12_15_1" localSheetId="17">#REF!</definedName>
    <definedName name="SG_12_15_1" localSheetId="18">#REF!</definedName>
    <definedName name="SG_12_15_1" localSheetId="20">#REF!</definedName>
    <definedName name="SG_12_15_1" localSheetId="21">#REF!</definedName>
    <definedName name="SG_12_15_1" localSheetId="7">#REF!</definedName>
    <definedName name="SG_12_15_1" localSheetId="3">#REF!</definedName>
    <definedName name="SG_12_15_1" localSheetId="11">#REF!</definedName>
    <definedName name="SG_12_15_1">[5]RESUMO!#REF!</definedName>
    <definedName name="SG_12_16" localSheetId="13">#REF!</definedName>
    <definedName name="SG_12_16" localSheetId="14">#REF!</definedName>
    <definedName name="SG_12_16" localSheetId="15">#REF!</definedName>
    <definedName name="SG_12_16" localSheetId="16">#REF!</definedName>
    <definedName name="SG_12_16" localSheetId="17">#REF!</definedName>
    <definedName name="SG_12_16" localSheetId="18">#REF!</definedName>
    <definedName name="SG_12_16" localSheetId="20">#REF!</definedName>
    <definedName name="SG_12_16" localSheetId="21">#REF!</definedName>
    <definedName name="SG_12_16" localSheetId="7">#REF!</definedName>
    <definedName name="SG_12_16" localSheetId="3">#REF!</definedName>
    <definedName name="SG_12_16" localSheetId="11">#REF!</definedName>
    <definedName name="SG_12_16">'[14]Planilha PROJETISTA'!#REF!</definedName>
    <definedName name="SG_12_16_1" localSheetId="13">#REF!</definedName>
    <definedName name="SG_12_16_1" localSheetId="14">#REF!</definedName>
    <definedName name="SG_12_16_1" localSheetId="15">#REF!</definedName>
    <definedName name="SG_12_16_1" localSheetId="16">#REF!</definedName>
    <definedName name="SG_12_16_1" localSheetId="17">#REF!</definedName>
    <definedName name="SG_12_16_1" localSheetId="18">#REF!</definedName>
    <definedName name="SG_12_16_1" localSheetId="20">#REF!</definedName>
    <definedName name="SG_12_16_1" localSheetId="21">#REF!</definedName>
    <definedName name="SG_12_16_1" localSheetId="7">#REF!</definedName>
    <definedName name="SG_12_16_1" localSheetId="3">#REF!</definedName>
    <definedName name="SG_12_16_1" localSheetId="11">#REF!</definedName>
    <definedName name="SG_12_16_1">[5]RESUMO!#REF!</definedName>
    <definedName name="SG_12_17" localSheetId="13">#REF!</definedName>
    <definedName name="SG_12_17" localSheetId="14">#REF!</definedName>
    <definedName name="SG_12_17" localSheetId="15">#REF!</definedName>
    <definedName name="SG_12_17" localSheetId="16">#REF!</definedName>
    <definedName name="SG_12_17" localSheetId="17">#REF!</definedName>
    <definedName name="SG_12_17" localSheetId="18">#REF!</definedName>
    <definedName name="SG_12_17" localSheetId="20">#REF!</definedName>
    <definedName name="SG_12_17" localSheetId="21">#REF!</definedName>
    <definedName name="SG_12_17" localSheetId="7">#REF!</definedName>
    <definedName name="SG_12_17" localSheetId="3">#REF!</definedName>
    <definedName name="SG_12_17" localSheetId="11">#REF!</definedName>
    <definedName name="SG_12_17">'[14]Planilha PROJETISTA'!#REF!</definedName>
    <definedName name="SG_12_17_1" localSheetId="13">#REF!</definedName>
    <definedName name="SG_12_17_1" localSheetId="14">#REF!</definedName>
    <definedName name="SG_12_17_1" localSheetId="15">#REF!</definedName>
    <definedName name="SG_12_17_1" localSheetId="16">#REF!</definedName>
    <definedName name="SG_12_17_1" localSheetId="17">#REF!</definedName>
    <definedName name="SG_12_17_1" localSheetId="18">#REF!</definedName>
    <definedName name="SG_12_17_1" localSheetId="20">#REF!</definedName>
    <definedName name="SG_12_17_1" localSheetId="21">#REF!</definedName>
    <definedName name="SG_12_17_1" localSheetId="7">#REF!</definedName>
    <definedName name="SG_12_17_1" localSheetId="3">#REF!</definedName>
    <definedName name="SG_12_17_1" localSheetId="11">#REF!</definedName>
    <definedName name="SG_12_17_1">[5]RESUMO!#REF!</definedName>
    <definedName name="SG_12_18" localSheetId="13">#REF!</definedName>
    <definedName name="SG_12_18" localSheetId="14">#REF!</definedName>
    <definedName name="SG_12_18" localSheetId="15">#REF!</definedName>
    <definedName name="SG_12_18" localSheetId="16">#REF!</definedName>
    <definedName name="SG_12_18" localSheetId="17">#REF!</definedName>
    <definedName name="SG_12_18" localSheetId="18">#REF!</definedName>
    <definedName name="SG_12_18" localSheetId="20">#REF!</definedName>
    <definedName name="SG_12_18" localSheetId="21">#REF!</definedName>
    <definedName name="SG_12_18" localSheetId="7">#REF!</definedName>
    <definedName name="SG_12_18" localSheetId="3">#REF!</definedName>
    <definedName name="SG_12_18" localSheetId="11">#REF!</definedName>
    <definedName name="SG_12_18">'[14]Planilha PROJETISTA'!#REF!</definedName>
    <definedName name="SG_12_18_1" localSheetId="13">#REF!</definedName>
    <definedName name="SG_12_18_1" localSheetId="14">#REF!</definedName>
    <definedName name="SG_12_18_1" localSheetId="15">#REF!</definedName>
    <definedName name="SG_12_18_1" localSheetId="16">#REF!</definedName>
    <definedName name="SG_12_18_1" localSheetId="17">#REF!</definedName>
    <definedName name="SG_12_18_1" localSheetId="18">#REF!</definedName>
    <definedName name="SG_12_18_1" localSheetId="20">#REF!</definedName>
    <definedName name="SG_12_18_1" localSheetId="21">#REF!</definedName>
    <definedName name="SG_12_18_1" localSheetId="7">#REF!</definedName>
    <definedName name="SG_12_18_1" localSheetId="3">#REF!</definedName>
    <definedName name="SG_12_18_1" localSheetId="11">#REF!</definedName>
    <definedName name="SG_12_18_1">[5]RESUMO!#REF!</definedName>
    <definedName name="SG_12_19" localSheetId="13">#REF!</definedName>
    <definedName name="SG_12_19" localSheetId="14">#REF!</definedName>
    <definedName name="SG_12_19" localSheetId="15">#REF!</definedName>
    <definedName name="SG_12_19" localSheetId="16">#REF!</definedName>
    <definedName name="SG_12_19" localSheetId="17">#REF!</definedName>
    <definedName name="SG_12_19" localSheetId="18">#REF!</definedName>
    <definedName name="SG_12_19" localSheetId="20">#REF!</definedName>
    <definedName name="SG_12_19" localSheetId="21">#REF!</definedName>
    <definedName name="SG_12_19" localSheetId="7">#REF!</definedName>
    <definedName name="SG_12_19" localSheetId="3">#REF!</definedName>
    <definedName name="SG_12_19" localSheetId="11">#REF!</definedName>
    <definedName name="SG_12_19">'[14]Planilha PROJETISTA'!#REF!</definedName>
    <definedName name="SG_12_19_1" localSheetId="13">#REF!</definedName>
    <definedName name="SG_12_19_1" localSheetId="14">#REF!</definedName>
    <definedName name="SG_12_19_1" localSheetId="15">#REF!</definedName>
    <definedName name="SG_12_19_1" localSheetId="16">#REF!</definedName>
    <definedName name="SG_12_19_1" localSheetId="17">#REF!</definedName>
    <definedName name="SG_12_19_1" localSheetId="18">#REF!</definedName>
    <definedName name="SG_12_19_1" localSheetId="20">#REF!</definedName>
    <definedName name="SG_12_19_1" localSheetId="21">#REF!</definedName>
    <definedName name="SG_12_19_1" localSheetId="7">#REF!</definedName>
    <definedName name="SG_12_19_1" localSheetId="3">#REF!</definedName>
    <definedName name="SG_12_19_1" localSheetId="11">#REF!</definedName>
    <definedName name="SG_12_19_1">[5]RESUMO!#REF!</definedName>
    <definedName name="SG_12_20" localSheetId="13">#REF!</definedName>
    <definedName name="SG_12_20" localSheetId="14">#REF!</definedName>
    <definedName name="SG_12_20" localSheetId="15">#REF!</definedName>
    <definedName name="SG_12_20" localSheetId="16">#REF!</definedName>
    <definedName name="SG_12_20" localSheetId="17">#REF!</definedName>
    <definedName name="SG_12_20" localSheetId="18">#REF!</definedName>
    <definedName name="SG_12_20" localSheetId="20">#REF!</definedName>
    <definedName name="SG_12_20" localSheetId="21">#REF!</definedName>
    <definedName name="SG_12_20" localSheetId="7">#REF!</definedName>
    <definedName name="SG_12_20" localSheetId="3">#REF!</definedName>
    <definedName name="SG_12_20" localSheetId="11">#REF!</definedName>
    <definedName name="SG_12_20">'[14]Planilha PROJETISTA'!#REF!</definedName>
    <definedName name="SG_12_20_1" localSheetId="13">#REF!</definedName>
    <definedName name="SG_12_20_1" localSheetId="14">#REF!</definedName>
    <definedName name="SG_12_20_1" localSheetId="15">#REF!</definedName>
    <definedName name="SG_12_20_1" localSheetId="16">#REF!</definedName>
    <definedName name="SG_12_20_1" localSheetId="17">#REF!</definedName>
    <definedName name="SG_12_20_1" localSheetId="18">#REF!</definedName>
    <definedName name="SG_12_20_1" localSheetId="20">#REF!</definedName>
    <definedName name="SG_12_20_1" localSheetId="21">#REF!</definedName>
    <definedName name="SG_12_20_1" localSheetId="7">#REF!</definedName>
    <definedName name="SG_12_20_1" localSheetId="3">#REF!</definedName>
    <definedName name="SG_12_20_1" localSheetId="11">#REF!</definedName>
    <definedName name="SG_12_20_1">[5]RESUMO!#REF!</definedName>
    <definedName name="SG_13_01_1" localSheetId="13">#REF!</definedName>
    <definedName name="SG_13_01_1" localSheetId="14">#REF!</definedName>
    <definedName name="SG_13_01_1" localSheetId="15">#REF!</definedName>
    <definedName name="SG_13_01_1" localSheetId="16">#REF!</definedName>
    <definedName name="SG_13_01_1" localSheetId="17">#REF!</definedName>
    <definedName name="SG_13_01_1" localSheetId="18">#REF!</definedName>
    <definedName name="SG_13_01_1" localSheetId="20">#REF!</definedName>
    <definedName name="SG_13_01_1" localSheetId="21">#REF!</definedName>
    <definedName name="SG_13_01_1" localSheetId="7">#REF!</definedName>
    <definedName name="SG_13_01_1" localSheetId="3">#REF!</definedName>
    <definedName name="SG_13_01_1" localSheetId="11">#REF!</definedName>
    <definedName name="SG_13_01_1">[5]RESUMO!#REF!</definedName>
    <definedName name="SG_13_02_1" localSheetId="13">#REF!</definedName>
    <definedName name="SG_13_02_1" localSheetId="14">#REF!</definedName>
    <definedName name="SG_13_02_1" localSheetId="15">#REF!</definedName>
    <definedName name="SG_13_02_1" localSheetId="16">#REF!</definedName>
    <definedName name="SG_13_02_1" localSheetId="17">#REF!</definedName>
    <definedName name="SG_13_02_1" localSheetId="18">#REF!</definedName>
    <definedName name="SG_13_02_1" localSheetId="20">#REF!</definedName>
    <definedName name="SG_13_02_1" localSheetId="21">#REF!</definedName>
    <definedName name="SG_13_02_1" localSheetId="7">#REF!</definedName>
    <definedName name="SG_13_02_1" localSheetId="3">#REF!</definedName>
    <definedName name="SG_13_02_1" localSheetId="11">#REF!</definedName>
    <definedName name="SG_13_02_1">[5]RESUMO!#REF!</definedName>
    <definedName name="SG_13_03_1" localSheetId="13">#REF!</definedName>
    <definedName name="SG_13_03_1" localSheetId="14">#REF!</definedName>
    <definedName name="SG_13_03_1" localSheetId="15">#REF!</definedName>
    <definedName name="SG_13_03_1" localSheetId="16">#REF!</definedName>
    <definedName name="SG_13_03_1" localSheetId="17">#REF!</definedName>
    <definedName name="SG_13_03_1" localSheetId="18">#REF!</definedName>
    <definedName name="SG_13_03_1" localSheetId="20">#REF!</definedName>
    <definedName name="SG_13_03_1" localSheetId="21">#REF!</definedName>
    <definedName name="SG_13_03_1" localSheetId="7">#REF!</definedName>
    <definedName name="SG_13_03_1" localSheetId="3">#REF!</definedName>
    <definedName name="SG_13_03_1" localSheetId="11">#REF!</definedName>
    <definedName name="SG_13_03_1">[5]RESUMO!#REF!</definedName>
    <definedName name="SG_13_04_1" localSheetId="13">#REF!</definedName>
    <definedName name="SG_13_04_1" localSheetId="14">#REF!</definedName>
    <definedName name="SG_13_04_1" localSheetId="15">#REF!</definedName>
    <definedName name="SG_13_04_1" localSheetId="16">#REF!</definedName>
    <definedName name="SG_13_04_1" localSheetId="17">#REF!</definedName>
    <definedName name="SG_13_04_1" localSheetId="18">#REF!</definedName>
    <definedName name="SG_13_04_1" localSheetId="20">#REF!</definedName>
    <definedName name="SG_13_04_1" localSheetId="21">#REF!</definedName>
    <definedName name="SG_13_04_1" localSheetId="7">#REF!</definedName>
    <definedName name="SG_13_04_1" localSheetId="3">#REF!</definedName>
    <definedName name="SG_13_04_1" localSheetId="11">#REF!</definedName>
    <definedName name="SG_13_04_1">[5]RESUMO!#REF!</definedName>
    <definedName name="SG_13_05_1" localSheetId="13">#REF!</definedName>
    <definedName name="SG_13_05_1" localSheetId="14">#REF!</definedName>
    <definedName name="SG_13_05_1" localSheetId="15">#REF!</definedName>
    <definedName name="SG_13_05_1" localSheetId="16">#REF!</definedName>
    <definedName name="SG_13_05_1" localSheetId="17">#REF!</definedName>
    <definedName name="SG_13_05_1" localSheetId="18">#REF!</definedName>
    <definedName name="SG_13_05_1" localSheetId="20">#REF!</definedName>
    <definedName name="SG_13_05_1" localSheetId="21">#REF!</definedName>
    <definedName name="SG_13_05_1" localSheetId="7">#REF!</definedName>
    <definedName name="SG_13_05_1" localSheetId="3">#REF!</definedName>
    <definedName name="SG_13_05_1" localSheetId="11">#REF!</definedName>
    <definedName name="SG_13_05_1">[5]RESUMO!#REF!</definedName>
    <definedName name="SG_13_06" localSheetId="13">#REF!</definedName>
    <definedName name="SG_13_06" localSheetId="14">#REF!</definedName>
    <definedName name="SG_13_06" localSheetId="15">#REF!</definedName>
    <definedName name="SG_13_06" localSheetId="16">#REF!</definedName>
    <definedName name="SG_13_06" localSheetId="17">#REF!</definedName>
    <definedName name="SG_13_06" localSheetId="18">#REF!</definedName>
    <definedName name="SG_13_06" localSheetId="20">#REF!</definedName>
    <definedName name="SG_13_06" localSheetId="21">#REF!</definedName>
    <definedName name="SG_13_06" localSheetId="7">#REF!</definedName>
    <definedName name="SG_13_06" localSheetId="3">#REF!</definedName>
    <definedName name="SG_13_06" localSheetId="11">#REF!</definedName>
    <definedName name="SG_13_06">'[14]Planilha PROJETISTA'!#REF!</definedName>
    <definedName name="SG_13_06_1" localSheetId="13">#REF!</definedName>
    <definedName name="SG_13_06_1" localSheetId="14">#REF!</definedName>
    <definedName name="SG_13_06_1" localSheetId="15">#REF!</definedName>
    <definedName name="SG_13_06_1" localSheetId="16">#REF!</definedName>
    <definedName name="SG_13_06_1" localSheetId="17">#REF!</definedName>
    <definedName name="SG_13_06_1" localSheetId="18">#REF!</definedName>
    <definedName name="SG_13_06_1" localSheetId="20">#REF!</definedName>
    <definedName name="SG_13_06_1" localSheetId="21">#REF!</definedName>
    <definedName name="SG_13_06_1" localSheetId="7">#REF!</definedName>
    <definedName name="SG_13_06_1" localSheetId="3">#REF!</definedName>
    <definedName name="SG_13_06_1" localSheetId="11">#REF!</definedName>
    <definedName name="SG_13_06_1">[5]RESUMO!#REF!</definedName>
    <definedName name="SG_13_07" localSheetId="13">#REF!</definedName>
    <definedName name="SG_13_07" localSheetId="14">#REF!</definedName>
    <definedName name="SG_13_07" localSheetId="15">#REF!</definedName>
    <definedName name="SG_13_07" localSheetId="16">#REF!</definedName>
    <definedName name="SG_13_07" localSheetId="17">#REF!</definedName>
    <definedName name="SG_13_07" localSheetId="18">#REF!</definedName>
    <definedName name="SG_13_07" localSheetId="20">#REF!</definedName>
    <definedName name="SG_13_07" localSheetId="21">#REF!</definedName>
    <definedName name="SG_13_07" localSheetId="7">#REF!</definedName>
    <definedName name="SG_13_07" localSheetId="3">#REF!</definedName>
    <definedName name="SG_13_07" localSheetId="11">#REF!</definedName>
    <definedName name="SG_13_07">'[14]Planilha PROJETISTA'!#REF!</definedName>
    <definedName name="SG_13_07_1" localSheetId="13">#REF!</definedName>
    <definedName name="SG_13_07_1" localSheetId="14">#REF!</definedName>
    <definedName name="SG_13_07_1" localSheetId="15">#REF!</definedName>
    <definedName name="SG_13_07_1" localSheetId="16">#REF!</definedName>
    <definedName name="SG_13_07_1" localSheetId="17">#REF!</definedName>
    <definedName name="SG_13_07_1" localSheetId="18">#REF!</definedName>
    <definedName name="SG_13_07_1" localSheetId="20">#REF!</definedName>
    <definedName name="SG_13_07_1" localSheetId="21">#REF!</definedName>
    <definedName name="SG_13_07_1" localSheetId="7">#REF!</definedName>
    <definedName name="SG_13_07_1" localSheetId="3">#REF!</definedName>
    <definedName name="SG_13_07_1" localSheetId="11">#REF!</definedName>
    <definedName name="SG_13_07_1">[5]RESUMO!#REF!</definedName>
    <definedName name="SG_13_08" localSheetId="13">#REF!</definedName>
    <definedName name="SG_13_08" localSheetId="14">#REF!</definedName>
    <definedName name="SG_13_08" localSheetId="15">#REF!</definedName>
    <definedName name="SG_13_08" localSheetId="16">#REF!</definedName>
    <definedName name="SG_13_08" localSheetId="17">#REF!</definedName>
    <definedName name="SG_13_08" localSheetId="18">#REF!</definedName>
    <definedName name="SG_13_08" localSheetId="20">#REF!</definedName>
    <definedName name="SG_13_08" localSheetId="21">#REF!</definedName>
    <definedName name="SG_13_08" localSheetId="7">#REF!</definedName>
    <definedName name="SG_13_08" localSheetId="3">#REF!</definedName>
    <definedName name="SG_13_08" localSheetId="11">#REF!</definedName>
    <definedName name="SG_13_08">'[14]Planilha PROJETISTA'!#REF!</definedName>
    <definedName name="SG_13_08_1" localSheetId="13">#REF!</definedName>
    <definedName name="SG_13_08_1" localSheetId="14">#REF!</definedName>
    <definedName name="SG_13_08_1" localSheetId="15">#REF!</definedName>
    <definedName name="SG_13_08_1" localSheetId="16">#REF!</definedName>
    <definedName name="SG_13_08_1" localSheetId="17">#REF!</definedName>
    <definedName name="SG_13_08_1" localSheetId="18">#REF!</definedName>
    <definedName name="SG_13_08_1" localSheetId="20">#REF!</definedName>
    <definedName name="SG_13_08_1" localSheetId="21">#REF!</definedName>
    <definedName name="SG_13_08_1" localSheetId="7">#REF!</definedName>
    <definedName name="SG_13_08_1" localSheetId="3">#REF!</definedName>
    <definedName name="SG_13_08_1" localSheetId="11">#REF!</definedName>
    <definedName name="SG_13_08_1">[5]RESUMO!#REF!</definedName>
    <definedName name="SG_13_09" localSheetId="13">#REF!</definedName>
    <definedName name="SG_13_09" localSheetId="14">#REF!</definedName>
    <definedName name="SG_13_09" localSheetId="15">#REF!</definedName>
    <definedName name="SG_13_09" localSheetId="16">#REF!</definedName>
    <definedName name="SG_13_09" localSheetId="17">#REF!</definedName>
    <definedName name="SG_13_09" localSheetId="18">#REF!</definedName>
    <definedName name="SG_13_09" localSheetId="20">#REF!</definedName>
    <definedName name="SG_13_09" localSheetId="21">#REF!</definedName>
    <definedName name="SG_13_09" localSheetId="7">#REF!</definedName>
    <definedName name="SG_13_09" localSheetId="3">#REF!</definedName>
    <definedName name="SG_13_09" localSheetId="11">#REF!</definedName>
    <definedName name="SG_13_09">'[14]Planilha PROJETISTA'!#REF!</definedName>
    <definedName name="SG_13_09_1" localSheetId="13">#REF!</definedName>
    <definedName name="SG_13_09_1" localSheetId="14">#REF!</definedName>
    <definedName name="SG_13_09_1" localSheetId="15">#REF!</definedName>
    <definedName name="SG_13_09_1" localSheetId="16">#REF!</definedName>
    <definedName name="SG_13_09_1" localSheetId="17">#REF!</definedName>
    <definedName name="SG_13_09_1" localSheetId="18">#REF!</definedName>
    <definedName name="SG_13_09_1" localSheetId="20">#REF!</definedName>
    <definedName name="SG_13_09_1" localSheetId="21">#REF!</definedName>
    <definedName name="SG_13_09_1" localSheetId="7">#REF!</definedName>
    <definedName name="SG_13_09_1" localSheetId="3">#REF!</definedName>
    <definedName name="SG_13_09_1" localSheetId="11">#REF!</definedName>
    <definedName name="SG_13_09_1">[5]RESUMO!#REF!</definedName>
    <definedName name="SG_13_10" localSheetId="13">#REF!</definedName>
    <definedName name="SG_13_10" localSheetId="14">#REF!</definedName>
    <definedName name="SG_13_10" localSheetId="15">#REF!</definedName>
    <definedName name="SG_13_10" localSheetId="16">#REF!</definedName>
    <definedName name="SG_13_10" localSheetId="17">#REF!</definedName>
    <definedName name="SG_13_10" localSheetId="18">#REF!</definedName>
    <definedName name="SG_13_10" localSheetId="20">#REF!</definedName>
    <definedName name="SG_13_10" localSheetId="21">#REF!</definedName>
    <definedName name="SG_13_10" localSheetId="7">#REF!</definedName>
    <definedName name="SG_13_10" localSheetId="3">#REF!</definedName>
    <definedName name="SG_13_10" localSheetId="11">#REF!</definedName>
    <definedName name="SG_13_10">'[14]Planilha PROJETISTA'!#REF!</definedName>
    <definedName name="SG_13_10_1" localSheetId="13">#REF!</definedName>
    <definedName name="SG_13_10_1" localSheetId="14">#REF!</definedName>
    <definedName name="SG_13_10_1" localSheetId="15">#REF!</definedName>
    <definedName name="SG_13_10_1" localSheetId="16">#REF!</definedName>
    <definedName name="SG_13_10_1" localSheetId="17">#REF!</definedName>
    <definedName name="SG_13_10_1" localSheetId="18">#REF!</definedName>
    <definedName name="SG_13_10_1" localSheetId="20">#REF!</definedName>
    <definedName name="SG_13_10_1" localSheetId="21">#REF!</definedName>
    <definedName name="SG_13_10_1" localSheetId="7">#REF!</definedName>
    <definedName name="SG_13_10_1" localSheetId="3">#REF!</definedName>
    <definedName name="SG_13_10_1" localSheetId="11">#REF!</definedName>
    <definedName name="SG_13_10_1">[5]RESUMO!#REF!</definedName>
    <definedName name="SG_13_11" localSheetId="13">#REF!</definedName>
    <definedName name="SG_13_11" localSheetId="14">#REF!</definedName>
    <definedName name="SG_13_11" localSheetId="15">#REF!</definedName>
    <definedName name="SG_13_11" localSheetId="16">#REF!</definedName>
    <definedName name="SG_13_11" localSheetId="17">#REF!</definedName>
    <definedName name="SG_13_11" localSheetId="18">#REF!</definedName>
    <definedName name="SG_13_11" localSheetId="20">#REF!</definedName>
    <definedName name="SG_13_11" localSheetId="21">#REF!</definedName>
    <definedName name="SG_13_11" localSheetId="7">#REF!</definedName>
    <definedName name="SG_13_11" localSheetId="3">#REF!</definedName>
    <definedName name="SG_13_11" localSheetId="11">#REF!</definedName>
    <definedName name="SG_13_11">'[14]Planilha PROJETISTA'!#REF!</definedName>
    <definedName name="SG_13_11_1" localSheetId="13">#REF!</definedName>
    <definedName name="SG_13_11_1" localSheetId="14">#REF!</definedName>
    <definedName name="SG_13_11_1" localSheetId="15">#REF!</definedName>
    <definedName name="SG_13_11_1" localSheetId="16">#REF!</definedName>
    <definedName name="SG_13_11_1" localSheetId="17">#REF!</definedName>
    <definedName name="SG_13_11_1" localSheetId="18">#REF!</definedName>
    <definedName name="SG_13_11_1" localSheetId="20">#REF!</definedName>
    <definedName name="SG_13_11_1" localSheetId="21">#REF!</definedName>
    <definedName name="SG_13_11_1" localSheetId="7">#REF!</definedName>
    <definedName name="SG_13_11_1" localSheetId="3">#REF!</definedName>
    <definedName name="SG_13_11_1" localSheetId="11">#REF!</definedName>
    <definedName name="SG_13_11_1">[5]RESUMO!#REF!</definedName>
    <definedName name="SG_13_12" localSheetId="13">#REF!</definedName>
    <definedName name="SG_13_12" localSheetId="14">#REF!</definedName>
    <definedName name="SG_13_12" localSheetId="15">#REF!</definedName>
    <definedName name="SG_13_12" localSheetId="16">#REF!</definedName>
    <definedName name="SG_13_12" localSheetId="17">#REF!</definedName>
    <definedName name="SG_13_12" localSheetId="18">#REF!</definedName>
    <definedName name="SG_13_12" localSheetId="20">#REF!</definedName>
    <definedName name="SG_13_12" localSheetId="21">#REF!</definedName>
    <definedName name="SG_13_12" localSheetId="7">#REF!</definedName>
    <definedName name="SG_13_12" localSheetId="3">#REF!</definedName>
    <definedName name="SG_13_12" localSheetId="11">#REF!</definedName>
    <definedName name="SG_13_12">'[14]Planilha PROJETISTA'!#REF!</definedName>
    <definedName name="SG_13_12_1" localSheetId="13">#REF!</definedName>
    <definedName name="SG_13_12_1" localSheetId="14">#REF!</definedName>
    <definedName name="SG_13_12_1" localSheetId="15">#REF!</definedName>
    <definedName name="SG_13_12_1" localSheetId="16">#REF!</definedName>
    <definedName name="SG_13_12_1" localSheetId="17">#REF!</definedName>
    <definedName name="SG_13_12_1" localSheetId="18">#REF!</definedName>
    <definedName name="SG_13_12_1" localSheetId="20">#REF!</definedName>
    <definedName name="SG_13_12_1" localSheetId="21">#REF!</definedName>
    <definedName name="SG_13_12_1" localSheetId="7">#REF!</definedName>
    <definedName name="SG_13_12_1" localSheetId="3">#REF!</definedName>
    <definedName name="SG_13_12_1" localSheetId="11">#REF!</definedName>
    <definedName name="SG_13_12_1">[5]RESUMO!#REF!</definedName>
    <definedName name="SG_13_13" localSheetId="13">#REF!</definedName>
    <definedName name="SG_13_13" localSheetId="14">#REF!</definedName>
    <definedName name="SG_13_13" localSheetId="15">#REF!</definedName>
    <definedName name="SG_13_13" localSheetId="16">#REF!</definedName>
    <definedName name="SG_13_13" localSheetId="17">#REF!</definedName>
    <definedName name="SG_13_13" localSheetId="18">#REF!</definedName>
    <definedName name="SG_13_13" localSheetId="20">#REF!</definedName>
    <definedName name="SG_13_13" localSheetId="21">#REF!</definedName>
    <definedName name="SG_13_13" localSheetId="7">#REF!</definedName>
    <definedName name="SG_13_13" localSheetId="3">#REF!</definedName>
    <definedName name="SG_13_13" localSheetId="11">#REF!</definedName>
    <definedName name="SG_13_13">'[14]Planilha PROJETISTA'!#REF!</definedName>
    <definedName name="SG_13_13_1" localSheetId="13">#REF!</definedName>
    <definedName name="SG_13_13_1" localSheetId="14">#REF!</definedName>
    <definedName name="SG_13_13_1" localSheetId="15">#REF!</definedName>
    <definedName name="SG_13_13_1" localSheetId="16">#REF!</definedName>
    <definedName name="SG_13_13_1" localSheetId="17">#REF!</definedName>
    <definedName name="SG_13_13_1" localSheetId="18">#REF!</definedName>
    <definedName name="SG_13_13_1" localSheetId="20">#REF!</definedName>
    <definedName name="SG_13_13_1" localSheetId="21">#REF!</definedName>
    <definedName name="SG_13_13_1" localSheetId="7">#REF!</definedName>
    <definedName name="SG_13_13_1" localSheetId="3">#REF!</definedName>
    <definedName name="SG_13_13_1" localSheetId="11">#REF!</definedName>
    <definedName name="SG_13_13_1">[5]RESUMO!#REF!</definedName>
    <definedName name="SG_13_14" localSheetId="13">#REF!</definedName>
    <definedName name="SG_13_14" localSheetId="14">#REF!</definedName>
    <definedName name="SG_13_14" localSheetId="15">#REF!</definedName>
    <definedName name="SG_13_14" localSheetId="16">#REF!</definedName>
    <definedName name="SG_13_14" localSheetId="17">#REF!</definedName>
    <definedName name="SG_13_14" localSheetId="18">#REF!</definedName>
    <definedName name="SG_13_14" localSheetId="20">#REF!</definedName>
    <definedName name="SG_13_14" localSheetId="21">#REF!</definedName>
    <definedName name="SG_13_14" localSheetId="7">#REF!</definedName>
    <definedName name="SG_13_14" localSheetId="3">#REF!</definedName>
    <definedName name="SG_13_14" localSheetId="11">#REF!</definedName>
    <definedName name="SG_13_14">'[14]Planilha PROJETISTA'!#REF!</definedName>
    <definedName name="SG_13_14_1" localSheetId="13">#REF!</definedName>
    <definedName name="SG_13_14_1" localSheetId="14">#REF!</definedName>
    <definedName name="SG_13_14_1" localSheetId="15">#REF!</definedName>
    <definedName name="SG_13_14_1" localSheetId="16">#REF!</definedName>
    <definedName name="SG_13_14_1" localSheetId="17">#REF!</definedName>
    <definedName name="SG_13_14_1" localSheetId="18">#REF!</definedName>
    <definedName name="SG_13_14_1" localSheetId="20">#REF!</definedName>
    <definedName name="SG_13_14_1" localSheetId="21">#REF!</definedName>
    <definedName name="SG_13_14_1" localSheetId="7">#REF!</definedName>
    <definedName name="SG_13_14_1" localSheetId="3">#REF!</definedName>
    <definedName name="SG_13_14_1" localSheetId="11">#REF!</definedName>
    <definedName name="SG_13_14_1">[5]RESUMO!#REF!</definedName>
    <definedName name="SG_13_15" localSheetId="13">#REF!</definedName>
    <definedName name="SG_13_15" localSheetId="14">#REF!</definedName>
    <definedName name="SG_13_15" localSheetId="15">#REF!</definedName>
    <definedName name="SG_13_15" localSheetId="16">#REF!</definedName>
    <definedName name="SG_13_15" localSheetId="17">#REF!</definedName>
    <definedName name="SG_13_15" localSheetId="18">#REF!</definedName>
    <definedName name="SG_13_15" localSheetId="20">#REF!</definedName>
    <definedName name="SG_13_15" localSheetId="21">#REF!</definedName>
    <definedName name="SG_13_15" localSheetId="7">#REF!</definedName>
    <definedName name="SG_13_15" localSheetId="3">#REF!</definedName>
    <definedName name="SG_13_15" localSheetId="11">#REF!</definedName>
    <definedName name="SG_13_15">'[14]Planilha PROJETISTA'!#REF!</definedName>
    <definedName name="SG_13_15_1" localSheetId="13">#REF!</definedName>
    <definedName name="SG_13_15_1" localSheetId="14">#REF!</definedName>
    <definedName name="SG_13_15_1" localSheetId="15">#REF!</definedName>
    <definedName name="SG_13_15_1" localSheetId="16">#REF!</definedName>
    <definedName name="SG_13_15_1" localSheetId="17">#REF!</definedName>
    <definedName name="SG_13_15_1" localSheetId="18">#REF!</definedName>
    <definedName name="SG_13_15_1" localSheetId="20">#REF!</definedName>
    <definedName name="SG_13_15_1" localSheetId="21">#REF!</definedName>
    <definedName name="SG_13_15_1" localSheetId="7">#REF!</definedName>
    <definedName name="SG_13_15_1" localSheetId="3">#REF!</definedName>
    <definedName name="SG_13_15_1" localSheetId="11">#REF!</definedName>
    <definedName name="SG_13_15_1">[5]RESUMO!#REF!</definedName>
    <definedName name="SG_13_16" localSheetId="13">#REF!</definedName>
    <definedName name="SG_13_16" localSheetId="14">#REF!</definedName>
    <definedName name="SG_13_16" localSheetId="15">#REF!</definedName>
    <definedName name="SG_13_16" localSheetId="16">#REF!</definedName>
    <definedName name="SG_13_16" localSheetId="17">#REF!</definedName>
    <definedName name="SG_13_16" localSheetId="18">#REF!</definedName>
    <definedName name="SG_13_16" localSheetId="20">#REF!</definedName>
    <definedName name="SG_13_16" localSheetId="21">#REF!</definedName>
    <definedName name="SG_13_16" localSheetId="7">#REF!</definedName>
    <definedName name="SG_13_16" localSheetId="3">#REF!</definedName>
    <definedName name="SG_13_16" localSheetId="11">#REF!</definedName>
    <definedName name="SG_13_16">'[14]Planilha PROJETISTA'!#REF!</definedName>
    <definedName name="SG_13_16_1" localSheetId="13">#REF!</definedName>
    <definedName name="SG_13_16_1" localSheetId="14">#REF!</definedName>
    <definedName name="SG_13_16_1" localSheetId="15">#REF!</definedName>
    <definedName name="SG_13_16_1" localSheetId="16">#REF!</definedName>
    <definedName name="SG_13_16_1" localSheetId="17">#REF!</definedName>
    <definedName name="SG_13_16_1" localSheetId="18">#REF!</definedName>
    <definedName name="SG_13_16_1" localSheetId="20">#REF!</definedName>
    <definedName name="SG_13_16_1" localSheetId="21">#REF!</definedName>
    <definedName name="SG_13_16_1" localSheetId="7">#REF!</definedName>
    <definedName name="SG_13_16_1" localSheetId="3">#REF!</definedName>
    <definedName name="SG_13_16_1" localSheetId="11">#REF!</definedName>
    <definedName name="SG_13_16_1">[5]RESUMO!#REF!</definedName>
    <definedName name="SG_13_17" localSheetId="13">#REF!</definedName>
    <definedName name="SG_13_17" localSheetId="14">#REF!</definedName>
    <definedName name="SG_13_17" localSheetId="15">#REF!</definedName>
    <definedName name="SG_13_17" localSheetId="16">#REF!</definedName>
    <definedName name="SG_13_17" localSheetId="17">#REF!</definedName>
    <definedName name="SG_13_17" localSheetId="18">#REF!</definedName>
    <definedName name="SG_13_17" localSheetId="20">#REF!</definedName>
    <definedName name="SG_13_17" localSheetId="21">#REF!</definedName>
    <definedName name="SG_13_17" localSheetId="7">#REF!</definedName>
    <definedName name="SG_13_17" localSheetId="3">#REF!</definedName>
    <definedName name="SG_13_17" localSheetId="11">#REF!</definedName>
    <definedName name="SG_13_17">'[14]Planilha PROJETISTA'!#REF!</definedName>
    <definedName name="SG_13_17_1" localSheetId="13">#REF!</definedName>
    <definedName name="SG_13_17_1" localSheetId="14">#REF!</definedName>
    <definedName name="SG_13_17_1" localSheetId="15">#REF!</definedName>
    <definedName name="SG_13_17_1" localSheetId="16">#REF!</definedName>
    <definedName name="SG_13_17_1" localSheetId="17">#REF!</definedName>
    <definedName name="SG_13_17_1" localSheetId="18">#REF!</definedName>
    <definedName name="SG_13_17_1" localSheetId="20">#REF!</definedName>
    <definedName name="SG_13_17_1" localSheetId="21">#REF!</definedName>
    <definedName name="SG_13_17_1" localSheetId="7">#REF!</definedName>
    <definedName name="SG_13_17_1" localSheetId="3">#REF!</definedName>
    <definedName name="SG_13_17_1" localSheetId="11">#REF!</definedName>
    <definedName name="SG_13_17_1">[5]RESUMO!#REF!</definedName>
    <definedName name="SG_13_18" localSheetId="13">#REF!</definedName>
    <definedName name="SG_13_18" localSheetId="14">#REF!</definedName>
    <definedName name="SG_13_18" localSheetId="15">#REF!</definedName>
    <definedName name="SG_13_18" localSheetId="16">#REF!</definedName>
    <definedName name="SG_13_18" localSheetId="17">#REF!</definedName>
    <definedName name="SG_13_18" localSheetId="18">#REF!</definedName>
    <definedName name="SG_13_18" localSheetId="20">#REF!</definedName>
    <definedName name="SG_13_18" localSheetId="21">#REF!</definedName>
    <definedName name="SG_13_18" localSheetId="7">#REF!</definedName>
    <definedName name="SG_13_18" localSheetId="3">#REF!</definedName>
    <definedName name="SG_13_18" localSheetId="11">#REF!</definedName>
    <definedName name="SG_13_18">'[14]Planilha PROJETISTA'!#REF!</definedName>
    <definedName name="SG_13_18_1" localSheetId="13">#REF!</definedName>
    <definedName name="SG_13_18_1" localSheetId="14">#REF!</definedName>
    <definedName name="SG_13_18_1" localSheetId="15">#REF!</definedName>
    <definedName name="SG_13_18_1" localSheetId="16">#REF!</definedName>
    <definedName name="SG_13_18_1" localSheetId="17">#REF!</definedName>
    <definedName name="SG_13_18_1" localSheetId="18">#REF!</definedName>
    <definedName name="SG_13_18_1" localSheetId="20">#REF!</definedName>
    <definedName name="SG_13_18_1" localSheetId="21">#REF!</definedName>
    <definedName name="SG_13_18_1" localSheetId="7">#REF!</definedName>
    <definedName name="SG_13_18_1" localSheetId="3">#REF!</definedName>
    <definedName name="SG_13_18_1" localSheetId="11">#REF!</definedName>
    <definedName name="SG_13_18_1">[5]RESUMO!#REF!</definedName>
    <definedName name="SG_13_19" localSheetId="13">#REF!</definedName>
    <definedName name="SG_13_19" localSheetId="14">#REF!</definedName>
    <definedName name="SG_13_19" localSheetId="15">#REF!</definedName>
    <definedName name="SG_13_19" localSheetId="16">#REF!</definedName>
    <definedName name="SG_13_19" localSheetId="17">#REF!</definedName>
    <definedName name="SG_13_19" localSheetId="18">#REF!</definedName>
    <definedName name="SG_13_19" localSheetId="20">#REF!</definedName>
    <definedName name="SG_13_19" localSheetId="21">#REF!</definedName>
    <definedName name="SG_13_19" localSheetId="7">#REF!</definedName>
    <definedName name="SG_13_19" localSheetId="3">#REF!</definedName>
    <definedName name="SG_13_19" localSheetId="11">#REF!</definedName>
    <definedName name="SG_13_19">'[14]Planilha PROJETISTA'!#REF!</definedName>
    <definedName name="SG_13_19_1" localSheetId="13">#REF!</definedName>
    <definedName name="SG_13_19_1" localSheetId="14">#REF!</definedName>
    <definedName name="SG_13_19_1" localSheetId="15">#REF!</definedName>
    <definedName name="SG_13_19_1" localSheetId="16">#REF!</definedName>
    <definedName name="SG_13_19_1" localSheetId="17">#REF!</definedName>
    <definedName name="SG_13_19_1" localSheetId="18">#REF!</definedName>
    <definedName name="SG_13_19_1" localSheetId="20">#REF!</definedName>
    <definedName name="SG_13_19_1" localSheetId="21">#REF!</definedName>
    <definedName name="SG_13_19_1" localSheetId="7">#REF!</definedName>
    <definedName name="SG_13_19_1" localSheetId="3">#REF!</definedName>
    <definedName name="SG_13_19_1" localSheetId="11">#REF!</definedName>
    <definedName name="SG_13_19_1">[5]RESUMO!#REF!</definedName>
    <definedName name="SG_13_20" localSheetId="13">#REF!</definedName>
    <definedName name="SG_13_20" localSheetId="14">#REF!</definedName>
    <definedName name="SG_13_20" localSheetId="15">#REF!</definedName>
    <definedName name="SG_13_20" localSheetId="16">#REF!</definedName>
    <definedName name="SG_13_20" localSheetId="17">#REF!</definedName>
    <definedName name="SG_13_20" localSheetId="18">#REF!</definedName>
    <definedName name="SG_13_20" localSheetId="20">#REF!</definedName>
    <definedName name="SG_13_20" localSheetId="21">#REF!</definedName>
    <definedName name="SG_13_20" localSheetId="7">#REF!</definedName>
    <definedName name="SG_13_20" localSheetId="3">#REF!</definedName>
    <definedName name="SG_13_20" localSheetId="11">#REF!</definedName>
    <definedName name="SG_13_20">'[14]Planilha PROJETISTA'!#REF!</definedName>
    <definedName name="SG_13_20_1" localSheetId="13">#REF!</definedName>
    <definedName name="SG_13_20_1" localSheetId="14">#REF!</definedName>
    <definedName name="SG_13_20_1" localSheetId="15">#REF!</definedName>
    <definedName name="SG_13_20_1" localSheetId="16">#REF!</definedName>
    <definedName name="SG_13_20_1" localSheetId="17">#REF!</definedName>
    <definedName name="SG_13_20_1" localSheetId="18">#REF!</definedName>
    <definedName name="SG_13_20_1" localSheetId="20">#REF!</definedName>
    <definedName name="SG_13_20_1" localSheetId="21">#REF!</definedName>
    <definedName name="SG_13_20_1" localSheetId="7">#REF!</definedName>
    <definedName name="SG_13_20_1" localSheetId="3">#REF!</definedName>
    <definedName name="SG_13_20_1" localSheetId="11">#REF!</definedName>
    <definedName name="SG_13_20_1">[5]RESUMO!#REF!</definedName>
    <definedName name="SG_14_01_1" localSheetId="13">#REF!</definedName>
    <definedName name="SG_14_01_1" localSheetId="14">#REF!</definedName>
    <definedName name="SG_14_01_1" localSheetId="15">#REF!</definedName>
    <definedName name="SG_14_01_1" localSheetId="16">#REF!</definedName>
    <definedName name="SG_14_01_1" localSheetId="17">#REF!</definedName>
    <definedName name="SG_14_01_1" localSheetId="18">#REF!</definedName>
    <definedName name="SG_14_01_1" localSheetId="20">#REF!</definedName>
    <definedName name="SG_14_01_1" localSheetId="21">#REF!</definedName>
    <definedName name="SG_14_01_1" localSheetId="7">#REF!</definedName>
    <definedName name="SG_14_01_1" localSheetId="3">#REF!</definedName>
    <definedName name="SG_14_01_1" localSheetId="11">#REF!</definedName>
    <definedName name="SG_14_01_1">[5]RESUMO!#REF!</definedName>
    <definedName name="SG_14_02_1" localSheetId="13">#REF!</definedName>
    <definedName name="SG_14_02_1" localSheetId="14">#REF!</definedName>
    <definedName name="SG_14_02_1" localSheetId="15">#REF!</definedName>
    <definedName name="SG_14_02_1" localSheetId="16">#REF!</definedName>
    <definedName name="SG_14_02_1" localSheetId="17">#REF!</definedName>
    <definedName name="SG_14_02_1" localSheetId="18">#REF!</definedName>
    <definedName name="SG_14_02_1" localSheetId="20">#REF!</definedName>
    <definedName name="SG_14_02_1" localSheetId="21">#REF!</definedName>
    <definedName name="SG_14_02_1" localSheetId="7">#REF!</definedName>
    <definedName name="SG_14_02_1" localSheetId="3">#REF!</definedName>
    <definedName name="SG_14_02_1" localSheetId="11">#REF!</definedName>
    <definedName name="SG_14_02_1">[5]RESUMO!#REF!</definedName>
    <definedName name="SG_14_03_1" localSheetId="13">#REF!</definedName>
    <definedName name="SG_14_03_1" localSheetId="14">#REF!</definedName>
    <definedName name="SG_14_03_1" localSheetId="15">#REF!</definedName>
    <definedName name="SG_14_03_1" localSheetId="16">#REF!</definedName>
    <definedName name="SG_14_03_1" localSheetId="17">#REF!</definedName>
    <definedName name="SG_14_03_1" localSheetId="18">#REF!</definedName>
    <definedName name="SG_14_03_1" localSheetId="20">#REF!</definedName>
    <definedName name="SG_14_03_1" localSheetId="21">#REF!</definedName>
    <definedName name="SG_14_03_1" localSheetId="7">#REF!</definedName>
    <definedName name="SG_14_03_1" localSheetId="3">#REF!</definedName>
    <definedName name="SG_14_03_1" localSheetId="11">#REF!</definedName>
    <definedName name="SG_14_03_1">[5]RESUMO!#REF!</definedName>
    <definedName name="SG_14_04_1" localSheetId="13">#REF!</definedName>
    <definedName name="SG_14_04_1" localSheetId="14">#REF!</definedName>
    <definedName name="SG_14_04_1" localSheetId="15">#REF!</definedName>
    <definedName name="SG_14_04_1" localSheetId="16">#REF!</definedName>
    <definedName name="SG_14_04_1" localSheetId="17">#REF!</definedName>
    <definedName name="SG_14_04_1" localSheetId="18">#REF!</definedName>
    <definedName name="SG_14_04_1" localSheetId="20">#REF!</definedName>
    <definedName name="SG_14_04_1" localSheetId="21">#REF!</definedName>
    <definedName name="SG_14_04_1" localSheetId="7">#REF!</definedName>
    <definedName name="SG_14_04_1" localSheetId="3">#REF!</definedName>
    <definedName name="SG_14_04_1" localSheetId="11">#REF!</definedName>
    <definedName name="SG_14_04_1">[5]RESUMO!#REF!</definedName>
    <definedName name="SG_14_05_1" localSheetId="13">#REF!</definedName>
    <definedName name="SG_14_05_1" localSheetId="14">#REF!</definedName>
    <definedName name="SG_14_05_1" localSheetId="15">#REF!</definedName>
    <definedName name="SG_14_05_1" localSheetId="16">#REF!</definedName>
    <definedName name="SG_14_05_1" localSheetId="17">#REF!</definedName>
    <definedName name="SG_14_05_1" localSheetId="18">#REF!</definedName>
    <definedName name="SG_14_05_1" localSheetId="20">#REF!</definedName>
    <definedName name="SG_14_05_1" localSheetId="21">#REF!</definedName>
    <definedName name="SG_14_05_1" localSheetId="7">#REF!</definedName>
    <definedName name="SG_14_05_1" localSheetId="3">#REF!</definedName>
    <definedName name="SG_14_05_1" localSheetId="11">#REF!</definedName>
    <definedName name="SG_14_05_1">[5]RESUMO!#REF!</definedName>
    <definedName name="SG_14_06_1" localSheetId="13">#REF!</definedName>
    <definedName name="SG_14_06_1" localSheetId="14">#REF!</definedName>
    <definedName name="SG_14_06_1" localSheetId="15">#REF!</definedName>
    <definedName name="SG_14_06_1" localSheetId="16">#REF!</definedName>
    <definedName name="SG_14_06_1" localSheetId="17">#REF!</definedName>
    <definedName name="SG_14_06_1" localSheetId="18">#REF!</definedName>
    <definedName name="SG_14_06_1" localSheetId="20">#REF!</definedName>
    <definedName name="SG_14_06_1" localSheetId="21">#REF!</definedName>
    <definedName name="SG_14_06_1" localSheetId="7">#REF!</definedName>
    <definedName name="SG_14_06_1" localSheetId="3">#REF!</definedName>
    <definedName name="SG_14_06_1" localSheetId="11">#REF!</definedName>
    <definedName name="SG_14_06_1">[5]RESUMO!#REF!</definedName>
    <definedName name="SG_14_07_1" localSheetId="13">#REF!</definedName>
    <definedName name="SG_14_07_1" localSheetId="14">#REF!</definedName>
    <definedName name="SG_14_07_1" localSheetId="15">#REF!</definedName>
    <definedName name="SG_14_07_1" localSheetId="16">#REF!</definedName>
    <definedName name="SG_14_07_1" localSheetId="17">#REF!</definedName>
    <definedName name="SG_14_07_1" localSheetId="18">#REF!</definedName>
    <definedName name="SG_14_07_1" localSheetId="20">#REF!</definedName>
    <definedName name="SG_14_07_1" localSheetId="21">#REF!</definedName>
    <definedName name="SG_14_07_1" localSheetId="7">#REF!</definedName>
    <definedName name="SG_14_07_1" localSheetId="3">#REF!</definedName>
    <definedName name="SG_14_07_1" localSheetId="11">#REF!</definedName>
    <definedName name="SG_14_07_1">[5]RESUMO!#REF!</definedName>
    <definedName name="SG_14_08" localSheetId="13">#REF!</definedName>
    <definedName name="SG_14_08" localSheetId="14">#REF!</definedName>
    <definedName name="SG_14_08" localSheetId="15">#REF!</definedName>
    <definedName name="SG_14_08" localSheetId="16">#REF!</definedName>
    <definedName name="SG_14_08" localSheetId="17">#REF!</definedName>
    <definedName name="SG_14_08" localSheetId="18">#REF!</definedName>
    <definedName name="SG_14_08" localSheetId="20">#REF!</definedName>
    <definedName name="SG_14_08" localSheetId="21">#REF!</definedName>
    <definedName name="SG_14_08" localSheetId="7">#REF!</definedName>
    <definedName name="SG_14_08" localSheetId="3">#REF!</definedName>
    <definedName name="SG_14_08" localSheetId="11">#REF!</definedName>
    <definedName name="SG_14_08">'[14]Planilha PROJETISTA'!#REF!</definedName>
    <definedName name="SG_14_08_1" localSheetId="13">#REF!</definedName>
    <definedName name="SG_14_08_1" localSheetId="14">#REF!</definedName>
    <definedName name="SG_14_08_1" localSheetId="15">#REF!</definedName>
    <definedName name="SG_14_08_1" localSheetId="16">#REF!</definedName>
    <definedName name="SG_14_08_1" localSheetId="17">#REF!</definedName>
    <definedName name="SG_14_08_1" localSheetId="18">#REF!</definedName>
    <definedName name="SG_14_08_1" localSheetId="20">#REF!</definedName>
    <definedName name="SG_14_08_1" localSheetId="21">#REF!</definedName>
    <definedName name="SG_14_08_1" localSheetId="7">#REF!</definedName>
    <definedName name="SG_14_08_1" localSheetId="3">#REF!</definedName>
    <definedName name="SG_14_08_1" localSheetId="11">#REF!</definedName>
    <definedName name="SG_14_08_1">[5]RESUMO!#REF!</definedName>
    <definedName name="SG_14_09" localSheetId="13">#REF!</definedName>
    <definedName name="SG_14_09" localSheetId="14">#REF!</definedName>
    <definedName name="SG_14_09" localSheetId="15">#REF!</definedName>
    <definedName name="SG_14_09" localSheetId="16">#REF!</definedName>
    <definedName name="SG_14_09" localSheetId="17">#REF!</definedName>
    <definedName name="SG_14_09" localSheetId="18">#REF!</definedName>
    <definedName name="SG_14_09" localSheetId="20">#REF!</definedName>
    <definedName name="SG_14_09" localSheetId="21">#REF!</definedName>
    <definedName name="SG_14_09" localSheetId="7">#REF!</definedName>
    <definedName name="SG_14_09" localSheetId="3">#REF!</definedName>
    <definedName name="SG_14_09" localSheetId="11">#REF!</definedName>
    <definedName name="SG_14_09">'[14]Planilha PROJETISTA'!#REF!</definedName>
    <definedName name="SG_14_09_1" localSheetId="13">#REF!</definedName>
    <definedName name="SG_14_09_1" localSheetId="14">#REF!</definedName>
    <definedName name="SG_14_09_1" localSheetId="15">#REF!</definedName>
    <definedName name="SG_14_09_1" localSheetId="16">#REF!</definedName>
    <definedName name="SG_14_09_1" localSheetId="17">#REF!</definedName>
    <definedName name="SG_14_09_1" localSheetId="18">#REF!</definedName>
    <definedName name="SG_14_09_1" localSheetId="20">#REF!</definedName>
    <definedName name="SG_14_09_1" localSheetId="21">#REF!</definedName>
    <definedName name="SG_14_09_1" localSheetId="7">#REF!</definedName>
    <definedName name="SG_14_09_1" localSheetId="3">#REF!</definedName>
    <definedName name="SG_14_09_1" localSheetId="11">#REF!</definedName>
    <definedName name="SG_14_09_1">[5]RESUMO!#REF!</definedName>
    <definedName name="SG_14_10" localSheetId="13">#REF!</definedName>
    <definedName name="SG_14_10" localSheetId="14">#REF!</definedName>
    <definedName name="SG_14_10" localSheetId="15">#REF!</definedName>
    <definedName name="SG_14_10" localSheetId="16">#REF!</definedName>
    <definedName name="SG_14_10" localSheetId="17">#REF!</definedName>
    <definedName name="SG_14_10" localSheetId="18">#REF!</definedName>
    <definedName name="SG_14_10" localSheetId="20">#REF!</definedName>
    <definedName name="SG_14_10" localSheetId="21">#REF!</definedName>
    <definedName name="SG_14_10" localSheetId="7">#REF!</definedName>
    <definedName name="SG_14_10" localSheetId="3">#REF!</definedName>
    <definedName name="SG_14_10" localSheetId="11">#REF!</definedName>
    <definedName name="SG_14_10">'[14]Planilha PROJETISTA'!#REF!</definedName>
    <definedName name="SG_14_10_1" localSheetId="13">#REF!</definedName>
    <definedName name="SG_14_10_1" localSheetId="14">#REF!</definedName>
    <definedName name="SG_14_10_1" localSheetId="15">#REF!</definedName>
    <definedName name="SG_14_10_1" localSheetId="16">#REF!</definedName>
    <definedName name="SG_14_10_1" localSheetId="17">#REF!</definedName>
    <definedName name="SG_14_10_1" localSheetId="18">#REF!</definedName>
    <definedName name="SG_14_10_1" localSheetId="20">#REF!</definedName>
    <definedName name="SG_14_10_1" localSheetId="21">#REF!</definedName>
    <definedName name="SG_14_10_1" localSheetId="7">#REF!</definedName>
    <definedName name="SG_14_10_1" localSheetId="3">#REF!</definedName>
    <definedName name="SG_14_10_1" localSheetId="11">#REF!</definedName>
    <definedName name="SG_14_10_1">[5]RESUMO!#REF!</definedName>
    <definedName name="SG_14_11" localSheetId="13">#REF!</definedName>
    <definedName name="SG_14_11" localSheetId="14">#REF!</definedName>
    <definedName name="SG_14_11" localSheetId="15">#REF!</definedName>
    <definedName name="SG_14_11" localSheetId="16">#REF!</definedName>
    <definedName name="SG_14_11" localSheetId="17">#REF!</definedName>
    <definedName name="SG_14_11" localSheetId="18">#REF!</definedName>
    <definedName name="SG_14_11" localSheetId="20">#REF!</definedName>
    <definedName name="SG_14_11" localSheetId="21">#REF!</definedName>
    <definedName name="SG_14_11" localSheetId="7">#REF!</definedName>
    <definedName name="SG_14_11" localSheetId="3">#REF!</definedName>
    <definedName name="SG_14_11" localSheetId="11">#REF!</definedName>
    <definedName name="SG_14_11">'[14]Planilha PROJETISTA'!#REF!</definedName>
    <definedName name="SG_14_11_1" localSheetId="13">#REF!</definedName>
    <definedName name="SG_14_11_1" localSheetId="14">#REF!</definedName>
    <definedName name="SG_14_11_1" localSheetId="15">#REF!</definedName>
    <definedName name="SG_14_11_1" localSheetId="16">#REF!</definedName>
    <definedName name="SG_14_11_1" localSheetId="17">#REF!</definedName>
    <definedName name="SG_14_11_1" localSheetId="18">#REF!</definedName>
    <definedName name="SG_14_11_1" localSheetId="20">#REF!</definedName>
    <definedName name="SG_14_11_1" localSheetId="21">#REF!</definedName>
    <definedName name="SG_14_11_1" localSheetId="7">#REF!</definedName>
    <definedName name="SG_14_11_1" localSheetId="3">#REF!</definedName>
    <definedName name="SG_14_11_1" localSheetId="11">#REF!</definedName>
    <definedName name="SG_14_11_1">[5]RESUMO!#REF!</definedName>
    <definedName name="SG_14_12" localSheetId="13">#REF!</definedName>
    <definedName name="SG_14_12" localSheetId="14">#REF!</definedName>
    <definedName name="SG_14_12" localSheetId="15">#REF!</definedName>
    <definedName name="SG_14_12" localSheetId="16">#REF!</definedName>
    <definedName name="SG_14_12" localSheetId="17">#REF!</definedName>
    <definedName name="SG_14_12" localSheetId="18">#REF!</definedName>
    <definedName name="SG_14_12" localSheetId="20">#REF!</definedName>
    <definedName name="SG_14_12" localSheetId="21">#REF!</definedName>
    <definedName name="SG_14_12" localSheetId="7">#REF!</definedName>
    <definedName name="SG_14_12" localSheetId="3">#REF!</definedName>
    <definedName name="SG_14_12" localSheetId="11">#REF!</definedName>
    <definedName name="SG_14_12">'[14]Planilha PROJETISTA'!#REF!</definedName>
    <definedName name="SG_14_12_1" localSheetId="13">#REF!</definedName>
    <definedName name="SG_14_12_1" localSheetId="14">#REF!</definedName>
    <definedName name="SG_14_12_1" localSheetId="15">#REF!</definedName>
    <definedName name="SG_14_12_1" localSheetId="16">#REF!</definedName>
    <definedName name="SG_14_12_1" localSheetId="17">#REF!</definedName>
    <definedName name="SG_14_12_1" localSheetId="18">#REF!</definedName>
    <definedName name="SG_14_12_1" localSheetId="20">#REF!</definedName>
    <definedName name="SG_14_12_1" localSheetId="21">#REF!</definedName>
    <definedName name="SG_14_12_1" localSheetId="7">#REF!</definedName>
    <definedName name="SG_14_12_1" localSheetId="3">#REF!</definedName>
    <definedName name="SG_14_12_1" localSheetId="11">#REF!</definedName>
    <definedName name="SG_14_12_1">[5]RESUMO!#REF!</definedName>
    <definedName name="SG_14_13" localSheetId="13">#REF!</definedName>
    <definedName name="SG_14_13" localSheetId="14">#REF!</definedName>
    <definedName name="SG_14_13" localSheetId="15">#REF!</definedName>
    <definedName name="SG_14_13" localSheetId="16">#REF!</definedName>
    <definedName name="SG_14_13" localSheetId="17">#REF!</definedName>
    <definedName name="SG_14_13" localSheetId="18">#REF!</definedName>
    <definedName name="SG_14_13" localSheetId="20">#REF!</definedName>
    <definedName name="SG_14_13" localSheetId="21">#REF!</definedName>
    <definedName name="SG_14_13" localSheetId="7">#REF!</definedName>
    <definedName name="SG_14_13" localSheetId="3">#REF!</definedName>
    <definedName name="SG_14_13" localSheetId="11">#REF!</definedName>
    <definedName name="SG_14_13">'[14]Planilha PROJETISTA'!#REF!</definedName>
    <definedName name="SG_14_13_1" localSheetId="13">#REF!</definedName>
    <definedName name="SG_14_13_1" localSheetId="14">#REF!</definedName>
    <definedName name="SG_14_13_1" localSheetId="15">#REF!</definedName>
    <definedName name="SG_14_13_1" localSheetId="16">#REF!</definedName>
    <definedName name="SG_14_13_1" localSheetId="17">#REF!</definedName>
    <definedName name="SG_14_13_1" localSheetId="18">#REF!</definedName>
    <definedName name="SG_14_13_1" localSheetId="20">#REF!</definedName>
    <definedName name="SG_14_13_1" localSheetId="21">#REF!</definedName>
    <definedName name="SG_14_13_1" localSheetId="7">#REF!</definedName>
    <definedName name="SG_14_13_1" localSheetId="3">#REF!</definedName>
    <definedName name="SG_14_13_1" localSheetId="11">#REF!</definedName>
    <definedName name="SG_14_13_1">[5]RESUMO!#REF!</definedName>
    <definedName name="SG_14_14" localSheetId="13">#REF!</definedName>
    <definedName name="SG_14_14" localSheetId="14">#REF!</definedName>
    <definedName name="SG_14_14" localSheetId="15">#REF!</definedName>
    <definedName name="SG_14_14" localSheetId="16">#REF!</definedName>
    <definedName name="SG_14_14" localSheetId="17">#REF!</definedName>
    <definedName name="SG_14_14" localSheetId="18">#REF!</definedName>
    <definedName name="SG_14_14" localSheetId="20">#REF!</definedName>
    <definedName name="SG_14_14" localSheetId="21">#REF!</definedName>
    <definedName name="SG_14_14" localSheetId="7">#REF!</definedName>
    <definedName name="SG_14_14" localSheetId="3">#REF!</definedName>
    <definedName name="SG_14_14" localSheetId="11">#REF!</definedName>
    <definedName name="SG_14_14">'[14]Planilha PROJETISTA'!#REF!</definedName>
    <definedName name="SG_14_14_1" localSheetId="13">#REF!</definedName>
    <definedName name="SG_14_14_1" localSheetId="14">#REF!</definedName>
    <definedName name="SG_14_14_1" localSheetId="15">#REF!</definedName>
    <definedName name="SG_14_14_1" localSheetId="16">#REF!</definedName>
    <definedName name="SG_14_14_1" localSheetId="17">#REF!</definedName>
    <definedName name="SG_14_14_1" localSheetId="18">#REF!</definedName>
    <definedName name="SG_14_14_1" localSheetId="20">#REF!</definedName>
    <definedName name="SG_14_14_1" localSheetId="21">#REF!</definedName>
    <definedName name="SG_14_14_1" localSheetId="7">#REF!</definedName>
    <definedName name="SG_14_14_1" localSheetId="3">#REF!</definedName>
    <definedName name="SG_14_14_1" localSheetId="11">#REF!</definedName>
    <definedName name="SG_14_14_1">[5]RESUMO!#REF!</definedName>
    <definedName name="SG_14_15" localSheetId="13">#REF!</definedName>
    <definedName name="SG_14_15" localSheetId="14">#REF!</definedName>
    <definedName name="SG_14_15" localSheetId="15">#REF!</definedName>
    <definedName name="SG_14_15" localSheetId="16">#REF!</definedName>
    <definedName name="SG_14_15" localSheetId="17">#REF!</definedName>
    <definedName name="SG_14_15" localSheetId="18">#REF!</definedName>
    <definedName name="SG_14_15" localSheetId="20">#REF!</definedName>
    <definedName name="SG_14_15" localSheetId="21">#REF!</definedName>
    <definedName name="SG_14_15" localSheetId="7">#REF!</definedName>
    <definedName name="SG_14_15" localSheetId="3">#REF!</definedName>
    <definedName name="SG_14_15" localSheetId="11">#REF!</definedName>
    <definedName name="SG_14_15">'[14]Planilha PROJETISTA'!#REF!</definedName>
    <definedName name="SG_14_15_1" localSheetId="13">#REF!</definedName>
    <definedName name="SG_14_15_1" localSheetId="14">#REF!</definedName>
    <definedName name="SG_14_15_1" localSheetId="15">#REF!</definedName>
    <definedName name="SG_14_15_1" localSheetId="16">#REF!</definedName>
    <definedName name="SG_14_15_1" localSheetId="17">#REF!</definedName>
    <definedName name="SG_14_15_1" localSheetId="18">#REF!</definedName>
    <definedName name="SG_14_15_1" localSheetId="20">#REF!</definedName>
    <definedName name="SG_14_15_1" localSheetId="21">#REF!</definedName>
    <definedName name="SG_14_15_1" localSheetId="7">#REF!</definedName>
    <definedName name="SG_14_15_1" localSheetId="3">#REF!</definedName>
    <definedName name="SG_14_15_1" localSheetId="11">#REF!</definedName>
    <definedName name="SG_14_15_1">[5]RESUMO!#REF!</definedName>
    <definedName name="SG_14_16" localSheetId="13">#REF!</definedName>
    <definedName name="SG_14_16" localSheetId="14">#REF!</definedName>
    <definedName name="SG_14_16" localSheetId="15">#REF!</definedName>
    <definedName name="SG_14_16" localSheetId="16">#REF!</definedName>
    <definedName name="SG_14_16" localSheetId="17">#REF!</definedName>
    <definedName name="SG_14_16" localSheetId="18">#REF!</definedName>
    <definedName name="SG_14_16" localSheetId="20">#REF!</definedName>
    <definedName name="SG_14_16" localSheetId="21">#REF!</definedName>
    <definedName name="SG_14_16" localSheetId="7">#REF!</definedName>
    <definedName name="SG_14_16" localSheetId="3">#REF!</definedName>
    <definedName name="SG_14_16" localSheetId="11">#REF!</definedName>
    <definedName name="SG_14_16">'[14]Planilha PROJETISTA'!#REF!</definedName>
    <definedName name="SG_14_16_1" localSheetId="13">#REF!</definedName>
    <definedName name="SG_14_16_1" localSheetId="14">#REF!</definedName>
    <definedName name="SG_14_16_1" localSheetId="15">#REF!</definedName>
    <definedName name="SG_14_16_1" localSheetId="16">#REF!</definedName>
    <definedName name="SG_14_16_1" localSheetId="17">#REF!</definedName>
    <definedName name="SG_14_16_1" localSheetId="18">#REF!</definedName>
    <definedName name="SG_14_16_1" localSheetId="20">#REF!</definedName>
    <definedName name="SG_14_16_1" localSheetId="21">#REF!</definedName>
    <definedName name="SG_14_16_1" localSheetId="7">#REF!</definedName>
    <definedName name="SG_14_16_1" localSheetId="3">#REF!</definedName>
    <definedName name="SG_14_16_1" localSheetId="11">#REF!</definedName>
    <definedName name="SG_14_16_1">[5]RESUMO!#REF!</definedName>
    <definedName name="SG_14_17" localSheetId="13">#REF!</definedName>
    <definedName name="SG_14_17" localSheetId="14">#REF!</definedName>
    <definedName name="SG_14_17" localSheetId="15">#REF!</definedName>
    <definedName name="SG_14_17" localSheetId="16">#REF!</definedName>
    <definedName name="SG_14_17" localSheetId="17">#REF!</definedName>
    <definedName name="SG_14_17" localSheetId="18">#REF!</definedName>
    <definedName name="SG_14_17" localSheetId="20">#REF!</definedName>
    <definedName name="SG_14_17" localSheetId="21">#REF!</definedName>
    <definedName name="SG_14_17" localSheetId="7">#REF!</definedName>
    <definedName name="SG_14_17" localSheetId="3">#REF!</definedName>
    <definedName name="SG_14_17" localSheetId="11">#REF!</definedName>
    <definedName name="SG_14_17">'[14]Planilha PROJETISTA'!#REF!</definedName>
    <definedName name="SG_14_17_1" localSheetId="13">#REF!</definedName>
    <definedName name="SG_14_17_1" localSheetId="14">#REF!</definedName>
    <definedName name="SG_14_17_1" localSheetId="15">#REF!</definedName>
    <definedName name="SG_14_17_1" localSheetId="16">#REF!</definedName>
    <definedName name="SG_14_17_1" localSheetId="17">#REF!</definedName>
    <definedName name="SG_14_17_1" localSheetId="18">#REF!</definedName>
    <definedName name="SG_14_17_1" localSheetId="20">#REF!</definedName>
    <definedName name="SG_14_17_1" localSheetId="21">#REF!</definedName>
    <definedName name="SG_14_17_1" localSheetId="7">#REF!</definedName>
    <definedName name="SG_14_17_1" localSheetId="3">#REF!</definedName>
    <definedName name="SG_14_17_1" localSheetId="11">#REF!</definedName>
    <definedName name="SG_14_17_1">[5]RESUMO!#REF!</definedName>
    <definedName name="SG_14_18" localSheetId="13">#REF!</definedName>
    <definedName name="SG_14_18" localSheetId="14">#REF!</definedName>
    <definedName name="SG_14_18" localSheetId="15">#REF!</definedName>
    <definedName name="SG_14_18" localSheetId="16">#REF!</definedName>
    <definedName name="SG_14_18" localSheetId="17">#REF!</definedName>
    <definedName name="SG_14_18" localSheetId="18">#REF!</definedName>
    <definedName name="SG_14_18" localSheetId="20">#REF!</definedName>
    <definedName name="SG_14_18" localSheetId="21">#REF!</definedName>
    <definedName name="SG_14_18" localSheetId="7">#REF!</definedName>
    <definedName name="SG_14_18" localSheetId="3">#REF!</definedName>
    <definedName name="SG_14_18" localSheetId="11">#REF!</definedName>
    <definedName name="SG_14_18">'[14]Planilha PROJETISTA'!#REF!</definedName>
    <definedName name="SG_14_18_1" localSheetId="13">#REF!</definedName>
    <definedName name="SG_14_18_1" localSheetId="14">#REF!</definedName>
    <definedName name="SG_14_18_1" localSheetId="15">#REF!</definedName>
    <definedName name="SG_14_18_1" localSheetId="16">#REF!</definedName>
    <definedName name="SG_14_18_1" localSheetId="17">#REF!</definedName>
    <definedName name="SG_14_18_1" localSheetId="18">#REF!</definedName>
    <definedName name="SG_14_18_1" localSheetId="20">#REF!</definedName>
    <definedName name="SG_14_18_1" localSheetId="21">#REF!</definedName>
    <definedName name="SG_14_18_1" localSheetId="7">#REF!</definedName>
    <definedName name="SG_14_18_1" localSheetId="3">#REF!</definedName>
    <definedName name="SG_14_18_1" localSheetId="11">#REF!</definedName>
    <definedName name="SG_14_18_1">[5]RESUMO!#REF!</definedName>
    <definedName name="SG_14_19" localSheetId="13">#REF!</definedName>
    <definedName name="SG_14_19" localSheetId="14">#REF!</definedName>
    <definedName name="SG_14_19" localSheetId="15">#REF!</definedName>
    <definedName name="SG_14_19" localSheetId="16">#REF!</definedName>
    <definedName name="SG_14_19" localSheetId="17">#REF!</definedName>
    <definedName name="SG_14_19" localSheetId="18">#REF!</definedName>
    <definedName name="SG_14_19" localSheetId="20">#REF!</definedName>
    <definedName name="SG_14_19" localSheetId="21">#REF!</definedName>
    <definedName name="SG_14_19" localSheetId="7">#REF!</definedName>
    <definedName name="SG_14_19" localSheetId="3">#REF!</definedName>
    <definedName name="SG_14_19" localSheetId="11">#REF!</definedName>
    <definedName name="SG_14_19">'[14]Planilha PROJETISTA'!#REF!</definedName>
    <definedName name="SG_14_19_1" localSheetId="13">#REF!</definedName>
    <definedName name="SG_14_19_1" localSheetId="14">#REF!</definedName>
    <definedName name="SG_14_19_1" localSheetId="15">#REF!</definedName>
    <definedName name="SG_14_19_1" localSheetId="16">#REF!</definedName>
    <definedName name="SG_14_19_1" localSheetId="17">#REF!</definedName>
    <definedName name="SG_14_19_1" localSheetId="18">#REF!</definedName>
    <definedName name="SG_14_19_1" localSheetId="20">#REF!</definedName>
    <definedName name="SG_14_19_1" localSheetId="21">#REF!</definedName>
    <definedName name="SG_14_19_1" localSheetId="7">#REF!</definedName>
    <definedName name="SG_14_19_1" localSheetId="3">#REF!</definedName>
    <definedName name="SG_14_19_1" localSheetId="11">#REF!</definedName>
    <definedName name="SG_14_19_1">[5]RESUMO!#REF!</definedName>
    <definedName name="SG_14_20" localSheetId="13">#REF!</definedName>
    <definedName name="SG_14_20" localSheetId="14">#REF!</definedName>
    <definedName name="SG_14_20" localSheetId="15">#REF!</definedName>
    <definedName name="SG_14_20" localSheetId="16">#REF!</definedName>
    <definedName name="SG_14_20" localSheetId="17">#REF!</definedName>
    <definedName name="SG_14_20" localSheetId="18">#REF!</definedName>
    <definedName name="SG_14_20" localSheetId="20">#REF!</definedName>
    <definedName name="SG_14_20" localSheetId="21">#REF!</definedName>
    <definedName name="SG_14_20" localSheetId="7">#REF!</definedName>
    <definedName name="SG_14_20" localSheetId="3">#REF!</definedName>
    <definedName name="SG_14_20" localSheetId="11">#REF!</definedName>
    <definedName name="SG_14_20">'[14]Planilha PROJETISTA'!#REF!</definedName>
    <definedName name="SG_14_20_1" localSheetId="13">#REF!</definedName>
    <definedName name="SG_14_20_1" localSheetId="14">#REF!</definedName>
    <definedName name="SG_14_20_1" localSheetId="15">#REF!</definedName>
    <definedName name="SG_14_20_1" localSheetId="16">#REF!</definedName>
    <definedName name="SG_14_20_1" localSheetId="17">#REF!</definedName>
    <definedName name="SG_14_20_1" localSheetId="18">#REF!</definedName>
    <definedName name="SG_14_20_1" localSheetId="20">#REF!</definedName>
    <definedName name="SG_14_20_1" localSheetId="21">#REF!</definedName>
    <definedName name="SG_14_20_1" localSheetId="7">#REF!</definedName>
    <definedName name="SG_14_20_1" localSheetId="3">#REF!</definedName>
    <definedName name="SG_14_20_1" localSheetId="11">#REF!</definedName>
    <definedName name="SG_14_20_1">[5]RESUMO!#REF!</definedName>
    <definedName name="SG_15_01_1" localSheetId="13">#REF!</definedName>
    <definedName name="SG_15_01_1" localSheetId="14">#REF!</definedName>
    <definedName name="SG_15_01_1" localSheetId="15">#REF!</definedName>
    <definedName name="SG_15_01_1" localSheetId="16">#REF!</definedName>
    <definedName name="SG_15_01_1" localSheetId="17">#REF!</definedName>
    <definedName name="SG_15_01_1" localSheetId="18">#REF!</definedName>
    <definedName name="SG_15_01_1" localSheetId="20">#REF!</definedName>
    <definedName name="SG_15_01_1" localSheetId="21">#REF!</definedName>
    <definedName name="SG_15_01_1" localSheetId="7">#REF!</definedName>
    <definedName name="SG_15_01_1" localSheetId="3">#REF!</definedName>
    <definedName name="SG_15_01_1" localSheetId="11">#REF!</definedName>
    <definedName name="SG_15_01_1">[5]RESUMO!#REF!</definedName>
    <definedName name="SG_15_02_1" localSheetId="13">#REF!</definedName>
    <definedName name="SG_15_02_1" localSheetId="14">#REF!</definedName>
    <definedName name="SG_15_02_1" localSheetId="15">#REF!</definedName>
    <definedName name="SG_15_02_1" localSheetId="16">#REF!</definedName>
    <definedName name="SG_15_02_1" localSheetId="17">#REF!</definedName>
    <definedName name="SG_15_02_1" localSheetId="18">#REF!</definedName>
    <definedName name="SG_15_02_1" localSheetId="20">#REF!</definedName>
    <definedName name="SG_15_02_1" localSheetId="21">#REF!</definedName>
    <definedName name="SG_15_02_1" localSheetId="7">#REF!</definedName>
    <definedName name="SG_15_02_1" localSheetId="3">#REF!</definedName>
    <definedName name="SG_15_02_1" localSheetId="11">#REF!</definedName>
    <definedName name="SG_15_02_1">[5]RESUMO!#REF!</definedName>
    <definedName name="SG_15_03_1" localSheetId="13">#REF!</definedName>
    <definedName name="SG_15_03_1" localSheetId="14">#REF!</definedName>
    <definedName name="SG_15_03_1" localSheetId="15">#REF!</definedName>
    <definedName name="SG_15_03_1" localSheetId="16">#REF!</definedName>
    <definedName name="SG_15_03_1" localSheetId="17">#REF!</definedName>
    <definedName name="SG_15_03_1" localSheetId="18">#REF!</definedName>
    <definedName name="SG_15_03_1" localSheetId="20">#REF!</definedName>
    <definedName name="SG_15_03_1" localSheetId="21">#REF!</definedName>
    <definedName name="SG_15_03_1" localSheetId="7">#REF!</definedName>
    <definedName name="SG_15_03_1" localSheetId="3">#REF!</definedName>
    <definedName name="SG_15_03_1" localSheetId="11">#REF!</definedName>
    <definedName name="SG_15_03_1">[5]RESUMO!#REF!</definedName>
    <definedName name="SG_15_04_1" localSheetId="13">#REF!</definedName>
    <definedName name="SG_15_04_1" localSheetId="14">#REF!</definedName>
    <definedName name="SG_15_04_1" localSheetId="15">#REF!</definedName>
    <definedName name="SG_15_04_1" localSheetId="16">#REF!</definedName>
    <definedName name="SG_15_04_1" localSheetId="17">#REF!</definedName>
    <definedName name="SG_15_04_1" localSheetId="18">#REF!</definedName>
    <definedName name="SG_15_04_1" localSheetId="20">#REF!</definedName>
    <definedName name="SG_15_04_1" localSheetId="21">#REF!</definedName>
    <definedName name="SG_15_04_1" localSheetId="7">#REF!</definedName>
    <definedName name="SG_15_04_1" localSheetId="3">#REF!</definedName>
    <definedName name="SG_15_04_1" localSheetId="11">#REF!</definedName>
    <definedName name="SG_15_04_1">[5]RESUMO!#REF!</definedName>
    <definedName name="SG_15_05_1" localSheetId="13">#REF!</definedName>
    <definedName name="SG_15_05_1" localSheetId="14">#REF!</definedName>
    <definedName name="SG_15_05_1" localSheetId="15">#REF!</definedName>
    <definedName name="SG_15_05_1" localSheetId="16">#REF!</definedName>
    <definedName name="SG_15_05_1" localSheetId="17">#REF!</definedName>
    <definedName name="SG_15_05_1" localSheetId="18">#REF!</definedName>
    <definedName name="SG_15_05_1" localSheetId="20">#REF!</definedName>
    <definedName name="SG_15_05_1" localSheetId="21">#REF!</definedName>
    <definedName name="SG_15_05_1" localSheetId="7">#REF!</definedName>
    <definedName name="SG_15_05_1" localSheetId="3">#REF!</definedName>
    <definedName name="SG_15_05_1" localSheetId="11">#REF!</definedName>
    <definedName name="SG_15_05_1">[5]RESUMO!#REF!</definedName>
    <definedName name="SG_15_06_1" localSheetId="13">#REF!</definedName>
    <definedName name="SG_15_06_1" localSheetId="14">#REF!</definedName>
    <definedName name="SG_15_06_1" localSheetId="15">#REF!</definedName>
    <definedName name="SG_15_06_1" localSheetId="16">#REF!</definedName>
    <definedName name="SG_15_06_1" localSheetId="17">#REF!</definedName>
    <definedName name="SG_15_06_1" localSheetId="18">#REF!</definedName>
    <definedName name="SG_15_06_1" localSheetId="20">#REF!</definedName>
    <definedName name="SG_15_06_1" localSheetId="21">#REF!</definedName>
    <definedName name="SG_15_06_1" localSheetId="7">#REF!</definedName>
    <definedName name="SG_15_06_1" localSheetId="3">#REF!</definedName>
    <definedName name="SG_15_06_1" localSheetId="11">#REF!</definedName>
    <definedName name="SG_15_06_1">[5]RESUMO!#REF!</definedName>
    <definedName name="SG_15_07_1" localSheetId="13">#REF!</definedName>
    <definedName name="SG_15_07_1" localSheetId="14">#REF!</definedName>
    <definedName name="SG_15_07_1" localSheetId="15">#REF!</definedName>
    <definedName name="SG_15_07_1" localSheetId="16">#REF!</definedName>
    <definedName name="SG_15_07_1" localSheetId="17">#REF!</definedName>
    <definedName name="SG_15_07_1" localSheetId="18">#REF!</definedName>
    <definedName name="SG_15_07_1" localSheetId="20">#REF!</definedName>
    <definedName name="SG_15_07_1" localSheetId="21">#REF!</definedName>
    <definedName name="SG_15_07_1" localSheetId="7">#REF!</definedName>
    <definedName name="SG_15_07_1" localSheetId="3">#REF!</definedName>
    <definedName name="SG_15_07_1" localSheetId="11">#REF!</definedName>
    <definedName name="SG_15_07_1">[5]RESUMO!#REF!</definedName>
    <definedName name="SG_15_08_1" localSheetId="13">#REF!</definedName>
    <definedName name="SG_15_08_1" localSheetId="14">#REF!</definedName>
    <definedName name="SG_15_08_1" localSheetId="15">#REF!</definedName>
    <definedName name="SG_15_08_1" localSheetId="16">#REF!</definedName>
    <definedName name="SG_15_08_1" localSheetId="17">#REF!</definedName>
    <definedName name="SG_15_08_1" localSheetId="18">#REF!</definedName>
    <definedName name="SG_15_08_1" localSheetId="20">#REF!</definedName>
    <definedName name="SG_15_08_1" localSheetId="21">#REF!</definedName>
    <definedName name="SG_15_08_1" localSheetId="7">#REF!</definedName>
    <definedName name="SG_15_08_1" localSheetId="3">#REF!</definedName>
    <definedName name="SG_15_08_1" localSheetId="11">#REF!</definedName>
    <definedName name="SG_15_08_1">[5]RESUMO!#REF!</definedName>
    <definedName name="SG_15_09_1" localSheetId="13">#REF!</definedName>
    <definedName name="SG_15_09_1" localSheetId="14">#REF!</definedName>
    <definedName name="SG_15_09_1" localSheetId="15">#REF!</definedName>
    <definedName name="SG_15_09_1" localSheetId="16">#REF!</definedName>
    <definedName name="SG_15_09_1" localSheetId="17">#REF!</definedName>
    <definedName name="SG_15_09_1" localSheetId="18">#REF!</definedName>
    <definedName name="SG_15_09_1" localSheetId="20">#REF!</definedName>
    <definedName name="SG_15_09_1" localSheetId="21">#REF!</definedName>
    <definedName name="SG_15_09_1" localSheetId="7">#REF!</definedName>
    <definedName name="SG_15_09_1" localSheetId="3">#REF!</definedName>
    <definedName name="SG_15_09_1" localSheetId="11">#REF!</definedName>
    <definedName name="SG_15_09_1">[5]RESUMO!#REF!</definedName>
    <definedName name="SG_15_10_1" localSheetId="13">#REF!</definedName>
    <definedName name="SG_15_10_1" localSheetId="14">#REF!</definedName>
    <definedName name="SG_15_10_1" localSheetId="15">#REF!</definedName>
    <definedName name="SG_15_10_1" localSheetId="16">#REF!</definedName>
    <definedName name="SG_15_10_1" localSheetId="17">#REF!</definedName>
    <definedName name="SG_15_10_1" localSheetId="18">#REF!</definedName>
    <definedName name="SG_15_10_1" localSheetId="20">#REF!</definedName>
    <definedName name="SG_15_10_1" localSheetId="21">#REF!</definedName>
    <definedName name="SG_15_10_1" localSheetId="7">#REF!</definedName>
    <definedName name="SG_15_10_1" localSheetId="3">#REF!</definedName>
    <definedName name="SG_15_10_1" localSheetId="11">#REF!</definedName>
    <definedName name="SG_15_10_1">[5]RESUMO!#REF!</definedName>
    <definedName name="SG_15_11_1" localSheetId="13">#REF!</definedName>
    <definedName name="SG_15_11_1" localSheetId="14">#REF!</definedName>
    <definedName name="SG_15_11_1" localSheetId="15">#REF!</definedName>
    <definedName name="SG_15_11_1" localSheetId="16">#REF!</definedName>
    <definedName name="SG_15_11_1" localSheetId="17">#REF!</definedName>
    <definedName name="SG_15_11_1" localSheetId="18">#REF!</definedName>
    <definedName name="SG_15_11_1" localSheetId="20">#REF!</definedName>
    <definedName name="SG_15_11_1" localSheetId="21">#REF!</definedName>
    <definedName name="SG_15_11_1" localSheetId="7">#REF!</definedName>
    <definedName name="SG_15_11_1" localSheetId="3">#REF!</definedName>
    <definedName name="SG_15_11_1" localSheetId="11">#REF!</definedName>
    <definedName name="SG_15_11_1">[5]RESUMO!#REF!</definedName>
    <definedName name="SG_15_12_1" localSheetId="13">#REF!</definedName>
    <definedName name="SG_15_12_1" localSheetId="14">#REF!</definedName>
    <definedName name="SG_15_12_1" localSheetId="15">#REF!</definedName>
    <definedName name="SG_15_12_1" localSheetId="16">#REF!</definedName>
    <definedName name="SG_15_12_1" localSheetId="17">#REF!</definedName>
    <definedName name="SG_15_12_1" localSheetId="18">#REF!</definedName>
    <definedName name="SG_15_12_1" localSheetId="20">#REF!</definedName>
    <definedName name="SG_15_12_1" localSheetId="21">#REF!</definedName>
    <definedName name="SG_15_12_1" localSheetId="7">#REF!</definedName>
    <definedName name="SG_15_12_1" localSheetId="3">#REF!</definedName>
    <definedName name="SG_15_12_1" localSheetId="11">#REF!</definedName>
    <definedName name="SG_15_12_1">[5]RESUMO!#REF!</definedName>
    <definedName name="SG_15_13_1" localSheetId="13">#REF!</definedName>
    <definedName name="SG_15_13_1" localSheetId="14">#REF!</definedName>
    <definedName name="SG_15_13_1" localSheetId="15">#REF!</definedName>
    <definedName name="SG_15_13_1" localSheetId="16">#REF!</definedName>
    <definedName name="SG_15_13_1" localSheetId="17">#REF!</definedName>
    <definedName name="SG_15_13_1" localSheetId="18">#REF!</definedName>
    <definedName name="SG_15_13_1" localSheetId="20">#REF!</definedName>
    <definedName name="SG_15_13_1" localSheetId="21">#REF!</definedName>
    <definedName name="SG_15_13_1" localSheetId="7">#REF!</definedName>
    <definedName name="SG_15_13_1" localSheetId="3">#REF!</definedName>
    <definedName name="SG_15_13_1" localSheetId="11">#REF!</definedName>
    <definedName name="SG_15_13_1">[5]RESUMO!#REF!</definedName>
    <definedName name="SG_15_14_1" localSheetId="13">#REF!</definedName>
    <definedName name="SG_15_14_1" localSheetId="14">#REF!</definedName>
    <definedName name="SG_15_14_1" localSheetId="15">#REF!</definedName>
    <definedName name="SG_15_14_1" localSheetId="16">#REF!</definedName>
    <definedName name="SG_15_14_1" localSheetId="17">#REF!</definedName>
    <definedName name="SG_15_14_1" localSheetId="18">#REF!</definedName>
    <definedName name="SG_15_14_1" localSheetId="20">#REF!</definedName>
    <definedName name="SG_15_14_1" localSheetId="21">#REF!</definedName>
    <definedName name="SG_15_14_1" localSheetId="7">#REF!</definedName>
    <definedName name="SG_15_14_1" localSheetId="3">#REF!</definedName>
    <definedName name="SG_15_14_1" localSheetId="11">#REF!</definedName>
    <definedName name="SG_15_14_1">[5]RESUMO!#REF!</definedName>
    <definedName name="SG_15_15_1" localSheetId="13">#REF!</definedName>
    <definedName name="SG_15_15_1" localSheetId="14">#REF!</definedName>
    <definedName name="SG_15_15_1" localSheetId="15">#REF!</definedName>
    <definedName name="SG_15_15_1" localSheetId="16">#REF!</definedName>
    <definedName name="SG_15_15_1" localSheetId="17">#REF!</definedName>
    <definedName name="SG_15_15_1" localSheetId="18">#REF!</definedName>
    <definedName name="SG_15_15_1" localSheetId="20">#REF!</definedName>
    <definedName name="SG_15_15_1" localSheetId="21">#REF!</definedName>
    <definedName name="SG_15_15_1" localSheetId="7">#REF!</definedName>
    <definedName name="SG_15_15_1" localSheetId="3">#REF!</definedName>
    <definedName name="SG_15_15_1" localSheetId="11">#REF!</definedName>
    <definedName name="SG_15_15_1">[5]RESUMO!#REF!</definedName>
    <definedName name="SG_15_16_1" localSheetId="13">#REF!</definedName>
    <definedName name="SG_15_16_1" localSheetId="14">#REF!</definedName>
    <definedName name="SG_15_16_1" localSheetId="15">#REF!</definedName>
    <definedName name="SG_15_16_1" localSheetId="16">#REF!</definedName>
    <definedName name="SG_15_16_1" localSheetId="17">#REF!</definedName>
    <definedName name="SG_15_16_1" localSheetId="18">#REF!</definedName>
    <definedName name="SG_15_16_1" localSheetId="20">#REF!</definedName>
    <definedName name="SG_15_16_1" localSheetId="21">#REF!</definedName>
    <definedName name="SG_15_16_1" localSheetId="7">#REF!</definedName>
    <definedName name="SG_15_16_1" localSheetId="3">#REF!</definedName>
    <definedName name="SG_15_16_1" localSheetId="11">#REF!</definedName>
    <definedName name="SG_15_16_1">[5]RESUMO!#REF!</definedName>
    <definedName name="SG_15_17_1" localSheetId="13">#REF!</definedName>
    <definedName name="SG_15_17_1" localSheetId="14">#REF!</definedName>
    <definedName name="SG_15_17_1" localSheetId="15">#REF!</definedName>
    <definedName name="SG_15_17_1" localSheetId="16">#REF!</definedName>
    <definedName name="SG_15_17_1" localSheetId="17">#REF!</definedName>
    <definedName name="SG_15_17_1" localSheetId="18">#REF!</definedName>
    <definedName name="SG_15_17_1" localSheetId="20">#REF!</definedName>
    <definedName name="SG_15_17_1" localSheetId="21">#REF!</definedName>
    <definedName name="SG_15_17_1" localSheetId="7">#REF!</definedName>
    <definedName name="SG_15_17_1" localSheetId="3">#REF!</definedName>
    <definedName name="SG_15_17_1" localSheetId="11">#REF!</definedName>
    <definedName name="SG_15_17_1">[5]RESUMO!#REF!</definedName>
    <definedName name="SG_15_18_1" localSheetId="13">#REF!</definedName>
    <definedName name="SG_15_18_1" localSheetId="14">#REF!</definedName>
    <definedName name="SG_15_18_1" localSheetId="15">#REF!</definedName>
    <definedName name="SG_15_18_1" localSheetId="16">#REF!</definedName>
    <definedName name="SG_15_18_1" localSheetId="17">#REF!</definedName>
    <definedName name="SG_15_18_1" localSheetId="18">#REF!</definedName>
    <definedName name="SG_15_18_1" localSheetId="20">#REF!</definedName>
    <definedName name="SG_15_18_1" localSheetId="21">#REF!</definedName>
    <definedName name="SG_15_18_1" localSheetId="7">#REF!</definedName>
    <definedName name="SG_15_18_1" localSheetId="3">#REF!</definedName>
    <definedName name="SG_15_18_1" localSheetId="11">#REF!</definedName>
    <definedName name="SG_15_18_1">[5]RESUMO!#REF!</definedName>
    <definedName name="SG_15_19_1" localSheetId="13">#REF!</definedName>
    <definedName name="SG_15_19_1" localSheetId="14">#REF!</definedName>
    <definedName name="SG_15_19_1" localSheetId="15">#REF!</definedName>
    <definedName name="SG_15_19_1" localSheetId="16">#REF!</definedName>
    <definedName name="SG_15_19_1" localSheetId="17">#REF!</definedName>
    <definedName name="SG_15_19_1" localSheetId="18">#REF!</definedName>
    <definedName name="SG_15_19_1" localSheetId="20">#REF!</definedName>
    <definedName name="SG_15_19_1" localSheetId="21">#REF!</definedName>
    <definedName name="SG_15_19_1" localSheetId="7">#REF!</definedName>
    <definedName name="SG_15_19_1" localSheetId="3">#REF!</definedName>
    <definedName name="SG_15_19_1" localSheetId="11">#REF!</definedName>
    <definedName name="SG_15_19_1">[5]RESUMO!#REF!</definedName>
    <definedName name="SG_15_20_1" localSheetId="13">#REF!</definedName>
    <definedName name="SG_15_20_1" localSheetId="14">#REF!</definedName>
    <definedName name="SG_15_20_1" localSheetId="15">#REF!</definedName>
    <definedName name="SG_15_20_1" localSheetId="16">#REF!</definedName>
    <definedName name="SG_15_20_1" localSheetId="17">#REF!</definedName>
    <definedName name="SG_15_20_1" localSheetId="18">#REF!</definedName>
    <definedName name="SG_15_20_1" localSheetId="20">#REF!</definedName>
    <definedName name="SG_15_20_1" localSheetId="21">#REF!</definedName>
    <definedName name="SG_15_20_1" localSheetId="7">#REF!</definedName>
    <definedName name="SG_15_20_1" localSheetId="3">#REF!</definedName>
    <definedName name="SG_15_20_1" localSheetId="11">#REF!</definedName>
    <definedName name="SG_15_20_1">[5]RESUMO!#REF!</definedName>
    <definedName name="SG_16_01_1" localSheetId="13">#REF!</definedName>
    <definedName name="SG_16_01_1" localSheetId="14">#REF!</definedName>
    <definedName name="SG_16_01_1" localSheetId="15">#REF!</definedName>
    <definedName name="SG_16_01_1" localSheetId="16">#REF!</definedName>
    <definedName name="SG_16_01_1" localSheetId="17">#REF!</definedName>
    <definedName name="SG_16_01_1" localSheetId="18">#REF!</definedName>
    <definedName name="SG_16_01_1" localSheetId="20">#REF!</definedName>
    <definedName name="SG_16_01_1" localSheetId="21">#REF!</definedName>
    <definedName name="SG_16_01_1" localSheetId="7">#REF!</definedName>
    <definedName name="SG_16_01_1" localSheetId="3">#REF!</definedName>
    <definedName name="SG_16_01_1" localSheetId="11">#REF!</definedName>
    <definedName name="SG_16_01_1">[5]RESUMO!#REF!</definedName>
    <definedName name="SG_16_02_1" localSheetId="13">#REF!</definedName>
    <definedName name="SG_16_02_1" localSheetId="14">#REF!</definedName>
    <definedName name="SG_16_02_1" localSheetId="15">#REF!</definedName>
    <definedName name="SG_16_02_1" localSheetId="16">#REF!</definedName>
    <definedName name="SG_16_02_1" localSheetId="17">#REF!</definedName>
    <definedName name="SG_16_02_1" localSheetId="18">#REF!</definedName>
    <definedName name="SG_16_02_1" localSheetId="20">#REF!</definedName>
    <definedName name="SG_16_02_1" localSheetId="21">#REF!</definedName>
    <definedName name="SG_16_02_1" localSheetId="7">#REF!</definedName>
    <definedName name="SG_16_02_1" localSheetId="3">#REF!</definedName>
    <definedName name="SG_16_02_1" localSheetId="11">#REF!</definedName>
    <definedName name="SG_16_02_1">[5]RESUMO!#REF!</definedName>
    <definedName name="SG_16_03_1" localSheetId="13">#REF!</definedName>
    <definedName name="SG_16_03_1" localSheetId="14">#REF!</definedName>
    <definedName name="SG_16_03_1" localSheetId="15">#REF!</definedName>
    <definedName name="SG_16_03_1" localSheetId="16">#REF!</definedName>
    <definedName name="SG_16_03_1" localSheetId="17">#REF!</definedName>
    <definedName name="SG_16_03_1" localSheetId="18">#REF!</definedName>
    <definedName name="SG_16_03_1" localSheetId="20">#REF!</definedName>
    <definedName name="SG_16_03_1" localSheetId="21">#REF!</definedName>
    <definedName name="SG_16_03_1" localSheetId="7">#REF!</definedName>
    <definedName name="SG_16_03_1" localSheetId="3">#REF!</definedName>
    <definedName name="SG_16_03_1" localSheetId="11">#REF!</definedName>
    <definedName name="SG_16_03_1">[5]RESUMO!#REF!</definedName>
    <definedName name="SG_16_04_1" localSheetId="13">#REF!</definedName>
    <definedName name="SG_16_04_1" localSheetId="14">#REF!</definedName>
    <definedName name="SG_16_04_1" localSheetId="15">#REF!</definedName>
    <definedName name="SG_16_04_1" localSheetId="16">#REF!</definedName>
    <definedName name="SG_16_04_1" localSheetId="17">#REF!</definedName>
    <definedName name="SG_16_04_1" localSheetId="18">#REF!</definedName>
    <definedName name="SG_16_04_1" localSheetId="20">#REF!</definedName>
    <definedName name="SG_16_04_1" localSheetId="21">#REF!</definedName>
    <definedName name="SG_16_04_1" localSheetId="7">#REF!</definedName>
    <definedName name="SG_16_04_1" localSheetId="3">#REF!</definedName>
    <definedName name="SG_16_04_1" localSheetId="11">#REF!</definedName>
    <definedName name="SG_16_04_1">[5]RESUMO!#REF!</definedName>
    <definedName name="SG_16_05_1" localSheetId="13">#REF!</definedName>
    <definedName name="SG_16_05_1" localSheetId="14">#REF!</definedName>
    <definedName name="SG_16_05_1" localSheetId="15">#REF!</definedName>
    <definedName name="SG_16_05_1" localSheetId="16">#REF!</definedName>
    <definedName name="SG_16_05_1" localSheetId="17">#REF!</definedName>
    <definedName name="SG_16_05_1" localSheetId="18">#REF!</definedName>
    <definedName name="SG_16_05_1" localSheetId="20">#REF!</definedName>
    <definedName name="SG_16_05_1" localSheetId="21">#REF!</definedName>
    <definedName name="SG_16_05_1" localSheetId="7">#REF!</definedName>
    <definedName name="SG_16_05_1" localSheetId="3">#REF!</definedName>
    <definedName name="SG_16_05_1" localSheetId="11">#REF!</definedName>
    <definedName name="SG_16_05_1">[5]RESUMO!#REF!</definedName>
    <definedName name="SG_16_06_1" localSheetId="13">#REF!</definedName>
    <definedName name="SG_16_06_1" localSheetId="14">#REF!</definedName>
    <definedName name="SG_16_06_1" localSheetId="15">#REF!</definedName>
    <definedName name="SG_16_06_1" localSheetId="16">#REF!</definedName>
    <definedName name="SG_16_06_1" localSheetId="17">#REF!</definedName>
    <definedName name="SG_16_06_1" localSheetId="18">#REF!</definedName>
    <definedName name="SG_16_06_1" localSheetId="20">#REF!</definedName>
    <definedName name="SG_16_06_1" localSheetId="21">#REF!</definedName>
    <definedName name="SG_16_06_1" localSheetId="7">#REF!</definedName>
    <definedName name="SG_16_06_1" localSheetId="3">#REF!</definedName>
    <definedName name="SG_16_06_1" localSheetId="11">#REF!</definedName>
    <definedName name="SG_16_06_1">[5]RESUMO!#REF!</definedName>
    <definedName name="SG_16_07_1" localSheetId="13">#REF!</definedName>
    <definedName name="SG_16_07_1" localSheetId="14">#REF!</definedName>
    <definedName name="SG_16_07_1" localSheetId="15">#REF!</definedName>
    <definedName name="SG_16_07_1" localSheetId="16">#REF!</definedName>
    <definedName name="SG_16_07_1" localSheetId="17">#REF!</definedName>
    <definedName name="SG_16_07_1" localSheetId="18">#REF!</definedName>
    <definedName name="SG_16_07_1" localSheetId="20">#REF!</definedName>
    <definedName name="SG_16_07_1" localSheetId="21">#REF!</definedName>
    <definedName name="SG_16_07_1" localSheetId="7">#REF!</definedName>
    <definedName name="SG_16_07_1" localSheetId="3">#REF!</definedName>
    <definedName name="SG_16_07_1" localSheetId="11">#REF!</definedName>
    <definedName name="SG_16_07_1">[5]RESUMO!#REF!</definedName>
    <definedName name="SG_16_08_1" localSheetId="13">#REF!</definedName>
    <definedName name="SG_16_08_1" localSheetId="14">#REF!</definedName>
    <definedName name="SG_16_08_1" localSheetId="15">#REF!</definedName>
    <definedName name="SG_16_08_1" localSheetId="16">#REF!</definedName>
    <definedName name="SG_16_08_1" localSheetId="17">#REF!</definedName>
    <definedName name="SG_16_08_1" localSheetId="18">#REF!</definedName>
    <definedName name="SG_16_08_1" localSheetId="20">#REF!</definedName>
    <definedName name="SG_16_08_1" localSheetId="21">#REF!</definedName>
    <definedName name="SG_16_08_1" localSheetId="7">#REF!</definedName>
    <definedName name="SG_16_08_1" localSheetId="3">#REF!</definedName>
    <definedName name="SG_16_08_1" localSheetId="11">#REF!</definedName>
    <definedName name="SG_16_08_1">[5]RESUMO!#REF!</definedName>
    <definedName name="SG_16_09_1" localSheetId="13">#REF!</definedName>
    <definedName name="SG_16_09_1" localSheetId="14">#REF!</definedName>
    <definedName name="SG_16_09_1" localSheetId="15">#REF!</definedName>
    <definedName name="SG_16_09_1" localSheetId="16">#REF!</definedName>
    <definedName name="SG_16_09_1" localSheetId="17">#REF!</definedName>
    <definedName name="SG_16_09_1" localSheetId="18">#REF!</definedName>
    <definedName name="SG_16_09_1" localSheetId="20">#REF!</definedName>
    <definedName name="SG_16_09_1" localSheetId="21">#REF!</definedName>
    <definedName name="SG_16_09_1" localSheetId="7">#REF!</definedName>
    <definedName name="SG_16_09_1" localSheetId="3">#REF!</definedName>
    <definedName name="SG_16_09_1" localSheetId="11">#REF!</definedName>
    <definedName name="SG_16_09_1">[5]RESUMO!#REF!</definedName>
    <definedName name="SG_16_10_1" localSheetId="13">#REF!</definedName>
    <definedName name="SG_16_10_1" localSheetId="14">#REF!</definedName>
    <definedName name="SG_16_10_1" localSheetId="15">#REF!</definedName>
    <definedName name="SG_16_10_1" localSheetId="16">#REF!</definedName>
    <definedName name="SG_16_10_1" localSheetId="17">#REF!</definedName>
    <definedName name="SG_16_10_1" localSheetId="18">#REF!</definedName>
    <definedName name="SG_16_10_1" localSheetId="20">#REF!</definedName>
    <definedName name="SG_16_10_1" localSheetId="21">#REF!</definedName>
    <definedName name="SG_16_10_1" localSheetId="7">#REF!</definedName>
    <definedName name="SG_16_10_1" localSheetId="3">#REF!</definedName>
    <definedName name="SG_16_10_1" localSheetId="11">#REF!</definedName>
    <definedName name="SG_16_10_1">[5]RESUMO!#REF!</definedName>
    <definedName name="SG_16_11_1" localSheetId="13">#REF!</definedName>
    <definedName name="SG_16_11_1" localSheetId="14">#REF!</definedName>
    <definedName name="SG_16_11_1" localSheetId="15">#REF!</definedName>
    <definedName name="SG_16_11_1" localSheetId="16">#REF!</definedName>
    <definedName name="SG_16_11_1" localSheetId="17">#REF!</definedName>
    <definedName name="SG_16_11_1" localSheetId="18">#REF!</definedName>
    <definedName name="SG_16_11_1" localSheetId="20">#REF!</definedName>
    <definedName name="SG_16_11_1" localSheetId="21">#REF!</definedName>
    <definedName name="SG_16_11_1" localSheetId="7">#REF!</definedName>
    <definedName name="SG_16_11_1" localSheetId="3">#REF!</definedName>
    <definedName name="SG_16_11_1" localSheetId="11">#REF!</definedName>
    <definedName name="SG_16_11_1">[5]RESUMO!#REF!</definedName>
    <definedName name="SG_16_12_1" localSheetId="13">#REF!</definedName>
    <definedName name="SG_16_12_1" localSheetId="14">#REF!</definedName>
    <definedName name="SG_16_12_1" localSheetId="15">#REF!</definedName>
    <definedName name="SG_16_12_1" localSheetId="16">#REF!</definedName>
    <definedName name="SG_16_12_1" localSheetId="17">#REF!</definedName>
    <definedName name="SG_16_12_1" localSheetId="18">#REF!</definedName>
    <definedName name="SG_16_12_1" localSheetId="20">#REF!</definedName>
    <definedName name="SG_16_12_1" localSheetId="21">#REF!</definedName>
    <definedName name="SG_16_12_1" localSheetId="7">#REF!</definedName>
    <definedName name="SG_16_12_1" localSheetId="3">#REF!</definedName>
    <definedName name="SG_16_12_1" localSheetId="11">#REF!</definedName>
    <definedName name="SG_16_12_1">[5]RESUMO!#REF!</definedName>
    <definedName name="SG_16_13_1" localSheetId="13">#REF!</definedName>
    <definedName name="SG_16_13_1" localSheetId="14">#REF!</definedName>
    <definedName name="SG_16_13_1" localSheetId="15">#REF!</definedName>
    <definedName name="SG_16_13_1" localSheetId="16">#REF!</definedName>
    <definedName name="SG_16_13_1" localSheetId="17">#REF!</definedName>
    <definedName name="SG_16_13_1" localSheetId="18">#REF!</definedName>
    <definedName name="SG_16_13_1" localSheetId="20">#REF!</definedName>
    <definedName name="SG_16_13_1" localSheetId="21">#REF!</definedName>
    <definedName name="SG_16_13_1" localSheetId="7">#REF!</definedName>
    <definedName name="SG_16_13_1" localSheetId="3">#REF!</definedName>
    <definedName name="SG_16_13_1" localSheetId="11">#REF!</definedName>
    <definedName name="SG_16_13_1">[5]RESUMO!#REF!</definedName>
    <definedName name="SG_16_14_1" localSheetId="13">#REF!</definedName>
    <definedName name="SG_16_14_1" localSheetId="14">#REF!</definedName>
    <definedName name="SG_16_14_1" localSheetId="15">#REF!</definedName>
    <definedName name="SG_16_14_1" localSheetId="16">#REF!</definedName>
    <definedName name="SG_16_14_1" localSheetId="17">#REF!</definedName>
    <definedName name="SG_16_14_1" localSheetId="18">#REF!</definedName>
    <definedName name="SG_16_14_1" localSheetId="20">#REF!</definedName>
    <definedName name="SG_16_14_1" localSheetId="21">#REF!</definedName>
    <definedName name="SG_16_14_1" localSheetId="7">#REF!</definedName>
    <definedName name="SG_16_14_1" localSheetId="3">#REF!</definedName>
    <definedName name="SG_16_14_1" localSheetId="11">#REF!</definedName>
    <definedName name="SG_16_14_1">[5]RESUMO!#REF!</definedName>
    <definedName name="SG_16_15_1" localSheetId="13">#REF!</definedName>
    <definedName name="SG_16_15_1" localSheetId="14">#REF!</definedName>
    <definedName name="SG_16_15_1" localSheetId="15">#REF!</definedName>
    <definedName name="SG_16_15_1" localSheetId="16">#REF!</definedName>
    <definedName name="SG_16_15_1" localSheetId="17">#REF!</definedName>
    <definedName name="SG_16_15_1" localSheetId="18">#REF!</definedName>
    <definedName name="SG_16_15_1" localSheetId="20">#REF!</definedName>
    <definedName name="SG_16_15_1" localSheetId="21">#REF!</definedName>
    <definedName name="SG_16_15_1" localSheetId="7">#REF!</definedName>
    <definedName name="SG_16_15_1" localSheetId="3">#REF!</definedName>
    <definedName name="SG_16_15_1" localSheetId="11">#REF!</definedName>
    <definedName name="SG_16_15_1">[5]RESUMO!#REF!</definedName>
    <definedName name="SG_16_16_1" localSheetId="13">#REF!</definedName>
    <definedName name="SG_16_16_1" localSheetId="14">#REF!</definedName>
    <definedName name="SG_16_16_1" localSheetId="15">#REF!</definedName>
    <definedName name="SG_16_16_1" localSheetId="16">#REF!</definedName>
    <definedName name="SG_16_16_1" localSheetId="17">#REF!</definedName>
    <definedName name="SG_16_16_1" localSheetId="18">#REF!</definedName>
    <definedName name="SG_16_16_1" localSheetId="20">#REF!</definedName>
    <definedName name="SG_16_16_1" localSheetId="21">#REF!</definedName>
    <definedName name="SG_16_16_1" localSheetId="7">#REF!</definedName>
    <definedName name="SG_16_16_1" localSheetId="3">#REF!</definedName>
    <definedName name="SG_16_16_1" localSheetId="11">#REF!</definedName>
    <definedName name="SG_16_16_1">[5]RESUMO!#REF!</definedName>
    <definedName name="SG_16_17_1" localSheetId="13">#REF!</definedName>
    <definedName name="SG_16_17_1" localSheetId="14">#REF!</definedName>
    <definedName name="SG_16_17_1" localSheetId="15">#REF!</definedName>
    <definedName name="SG_16_17_1" localSheetId="16">#REF!</definedName>
    <definedName name="SG_16_17_1" localSheetId="17">#REF!</definedName>
    <definedName name="SG_16_17_1" localSheetId="18">#REF!</definedName>
    <definedName name="SG_16_17_1" localSheetId="20">#REF!</definedName>
    <definedName name="SG_16_17_1" localSheetId="21">#REF!</definedName>
    <definedName name="SG_16_17_1" localSheetId="7">#REF!</definedName>
    <definedName name="SG_16_17_1" localSheetId="3">#REF!</definedName>
    <definedName name="SG_16_17_1" localSheetId="11">#REF!</definedName>
    <definedName name="SG_16_17_1">[5]RESUMO!#REF!</definedName>
    <definedName name="SG_16_18_1" localSheetId="13">#REF!</definedName>
    <definedName name="SG_16_18_1" localSheetId="14">#REF!</definedName>
    <definedName name="SG_16_18_1" localSheetId="15">#REF!</definedName>
    <definedName name="SG_16_18_1" localSheetId="16">#REF!</definedName>
    <definedName name="SG_16_18_1" localSheetId="17">#REF!</definedName>
    <definedName name="SG_16_18_1" localSheetId="18">#REF!</definedName>
    <definedName name="SG_16_18_1" localSheetId="20">#REF!</definedName>
    <definedName name="SG_16_18_1" localSheetId="21">#REF!</definedName>
    <definedName name="SG_16_18_1" localSheetId="7">#REF!</definedName>
    <definedName name="SG_16_18_1" localSheetId="3">#REF!</definedName>
    <definedName name="SG_16_18_1" localSheetId="11">#REF!</definedName>
    <definedName name="SG_16_18_1">[5]RESUMO!#REF!</definedName>
    <definedName name="SG_16_19_1" localSheetId="13">#REF!</definedName>
    <definedName name="SG_16_19_1" localSheetId="14">#REF!</definedName>
    <definedName name="SG_16_19_1" localSheetId="15">#REF!</definedName>
    <definedName name="SG_16_19_1" localSheetId="16">#REF!</definedName>
    <definedName name="SG_16_19_1" localSheetId="17">#REF!</definedName>
    <definedName name="SG_16_19_1" localSheetId="18">#REF!</definedName>
    <definedName name="SG_16_19_1" localSheetId="20">#REF!</definedName>
    <definedName name="SG_16_19_1" localSheetId="21">#REF!</definedName>
    <definedName name="SG_16_19_1" localSheetId="7">#REF!</definedName>
    <definedName name="SG_16_19_1" localSheetId="3">#REF!</definedName>
    <definedName name="SG_16_19_1" localSheetId="11">#REF!</definedName>
    <definedName name="SG_16_19_1">[5]RESUMO!#REF!</definedName>
    <definedName name="SG_16_20_1" localSheetId="13">#REF!</definedName>
    <definedName name="SG_16_20_1" localSheetId="14">#REF!</definedName>
    <definedName name="SG_16_20_1" localSheetId="15">#REF!</definedName>
    <definedName name="SG_16_20_1" localSheetId="16">#REF!</definedName>
    <definedName name="SG_16_20_1" localSheetId="17">#REF!</definedName>
    <definedName name="SG_16_20_1" localSheetId="18">#REF!</definedName>
    <definedName name="SG_16_20_1" localSheetId="20">#REF!</definedName>
    <definedName name="SG_16_20_1" localSheetId="21">#REF!</definedName>
    <definedName name="SG_16_20_1" localSheetId="7">#REF!</definedName>
    <definedName name="SG_16_20_1" localSheetId="3">#REF!</definedName>
    <definedName name="SG_16_20_1" localSheetId="11">#REF!</definedName>
    <definedName name="SG_16_20_1">[5]RESUMO!#REF!</definedName>
    <definedName name="SG_17_01_1" localSheetId="13">#REF!</definedName>
    <definedName name="SG_17_01_1" localSheetId="14">#REF!</definedName>
    <definedName name="SG_17_01_1" localSheetId="15">#REF!</definedName>
    <definedName name="SG_17_01_1" localSheetId="16">#REF!</definedName>
    <definedName name="SG_17_01_1" localSheetId="17">#REF!</definedName>
    <definedName name="SG_17_01_1" localSheetId="18">#REF!</definedName>
    <definedName name="SG_17_01_1" localSheetId="20">#REF!</definedName>
    <definedName name="SG_17_01_1" localSheetId="21">#REF!</definedName>
    <definedName name="SG_17_01_1" localSheetId="7">#REF!</definedName>
    <definedName name="SG_17_01_1" localSheetId="3">#REF!</definedName>
    <definedName name="SG_17_01_1" localSheetId="11">#REF!</definedName>
    <definedName name="SG_17_01_1">[5]RESUMO!#REF!</definedName>
    <definedName name="SG_17_02_1" localSheetId="13">#REF!</definedName>
    <definedName name="SG_17_02_1" localSheetId="14">#REF!</definedName>
    <definedName name="SG_17_02_1" localSheetId="15">#REF!</definedName>
    <definedName name="SG_17_02_1" localSheetId="16">#REF!</definedName>
    <definedName name="SG_17_02_1" localSheetId="17">#REF!</definedName>
    <definedName name="SG_17_02_1" localSheetId="18">#REF!</definedName>
    <definedName name="SG_17_02_1" localSheetId="20">#REF!</definedName>
    <definedName name="SG_17_02_1" localSheetId="21">#REF!</definedName>
    <definedName name="SG_17_02_1" localSheetId="7">#REF!</definedName>
    <definedName name="SG_17_02_1" localSheetId="3">#REF!</definedName>
    <definedName name="SG_17_02_1" localSheetId="11">#REF!</definedName>
    <definedName name="SG_17_02_1">[5]RESUMO!#REF!</definedName>
    <definedName name="SG_17_03_1" localSheetId="13">#REF!</definedName>
    <definedName name="SG_17_03_1" localSheetId="14">#REF!</definedName>
    <definedName name="SG_17_03_1" localSheetId="15">#REF!</definedName>
    <definedName name="SG_17_03_1" localSheetId="16">#REF!</definedName>
    <definedName name="SG_17_03_1" localSheetId="17">#REF!</definedName>
    <definedName name="SG_17_03_1" localSheetId="18">#REF!</definedName>
    <definedName name="SG_17_03_1" localSheetId="20">#REF!</definedName>
    <definedName name="SG_17_03_1" localSheetId="21">#REF!</definedName>
    <definedName name="SG_17_03_1" localSheetId="7">#REF!</definedName>
    <definedName name="SG_17_03_1" localSheetId="3">#REF!</definedName>
    <definedName name="SG_17_03_1" localSheetId="11">#REF!</definedName>
    <definedName name="SG_17_03_1">[5]RESUMO!#REF!</definedName>
    <definedName name="SG_17_04_1" localSheetId="13">#REF!</definedName>
    <definedName name="SG_17_04_1" localSheetId="14">#REF!</definedName>
    <definedName name="SG_17_04_1" localSheetId="15">#REF!</definedName>
    <definedName name="SG_17_04_1" localSheetId="16">#REF!</definedName>
    <definedName name="SG_17_04_1" localSheetId="17">#REF!</definedName>
    <definedName name="SG_17_04_1" localSheetId="18">#REF!</definedName>
    <definedName name="SG_17_04_1" localSheetId="20">#REF!</definedName>
    <definedName name="SG_17_04_1" localSheetId="21">#REF!</definedName>
    <definedName name="SG_17_04_1" localSheetId="7">#REF!</definedName>
    <definedName name="SG_17_04_1" localSheetId="3">#REF!</definedName>
    <definedName name="SG_17_04_1" localSheetId="11">#REF!</definedName>
    <definedName name="SG_17_04_1">[5]RESUMO!#REF!</definedName>
    <definedName name="SG_17_05_1" localSheetId="13">#REF!</definedName>
    <definedName name="SG_17_05_1" localSheetId="14">#REF!</definedName>
    <definedName name="SG_17_05_1" localSheetId="15">#REF!</definedName>
    <definedName name="SG_17_05_1" localSheetId="16">#REF!</definedName>
    <definedName name="SG_17_05_1" localSheetId="17">#REF!</definedName>
    <definedName name="SG_17_05_1" localSheetId="18">#REF!</definedName>
    <definedName name="SG_17_05_1" localSheetId="20">#REF!</definedName>
    <definedName name="SG_17_05_1" localSheetId="21">#REF!</definedName>
    <definedName name="SG_17_05_1" localSheetId="7">#REF!</definedName>
    <definedName name="SG_17_05_1" localSheetId="3">#REF!</definedName>
    <definedName name="SG_17_05_1" localSheetId="11">#REF!</definedName>
    <definedName name="SG_17_05_1">[5]RESUMO!#REF!</definedName>
    <definedName name="SG_17_06_1" localSheetId="13">#REF!</definedName>
    <definedName name="SG_17_06_1" localSheetId="14">#REF!</definedName>
    <definedName name="SG_17_06_1" localSheetId="15">#REF!</definedName>
    <definedName name="SG_17_06_1" localSheetId="16">#REF!</definedName>
    <definedName name="SG_17_06_1" localSheetId="17">#REF!</definedName>
    <definedName name="SG_17_06_1" localSheetId="18">#REF!</definedName>
    <definedName name="SG_17_06_1" localSheetId="20">#REF!</definedName>
    <definedName name="SG_17_06_1" localSheetId="21">#REF!</definedName>
    <definedName name="SG_17_06_1" localSheetId="7">#REF!</definedName>
    <definedName name="SG_17_06_1" localSheetId="3">#REF!</definedName>
    <definedName name="SG_17_06_1" localSheetId="11">#REF!</definedName>
    <definedName name="SG_17_06_1">[5]RESUMO!#REF!</definedName>
    <definedName name="SG_17_07_1" localSheetId="13">#REF!</definedName>
    <definedName name="SG_17_07_1" localSheetId="14">#REF!</definedName>
    <definedName name="SG_17_07_1" localSheetId="15">#REF!</definedName>
    <definedName name="SG_17_07_1" localSheetId="16">#REF!</definedName>
    <definedName name="SG_17_07_1" localSheetId="17">#REF!</definedName>
    <definedName name="SG_17_07_1" localSheetId="18">#REF!</definedName>
    <definedName name="SG_17_07_1" localSheetId="20">#REF!</definedName>
    <definedName name="SG_17_07_1" localSheetId="21">#REF!</definedName>
    <definedName name="SG_17_07_1" localSheetId="7">#REF!</definedName>
    <definedName name="SG_17_07_1" localSheetId="3">#REF!</definedName>
    <definedName name="SG_17_07_1" localSheetId="11">#REF!</definedName>
    <definedName name="SG_17_07_1">[5]RESUMO!#REF!</definedName>
    <definedName name="SG_17_08_1" localSheetId="13">#REF!</definedName>
    <definedName name="SG_17_08_1" localSheetId="14">#REF!</definedName>
    <definedName name="SG_17_08_1" localSheetId="15">#REF!</definedName>
    <definedName name="SG_17_08_1" localSheetId="16">#REF!</definedName>
    <definedName name="SG_17_08_1" localSheetId="17">#REF!</definedName>
    <definedName name="SG_17_08_1" localSheetId="18">#REF!</definedName>
    <definedName name="SG_17_08_1" localSheetId="20">#REF!</definedName>
    <definedName name="SG_17_08_1" localSheetId="21">#REF!</definedName>
    <definedName name="SG_17_08_1" localSheetId="7">#REF!</definedName>
    <definedName name="SG_17_08_1" localSheetId="3">#REF!</definedName>
    <definedName name="SG_17_08_1" localSheetId="11">#REF!</definedName>
    <definedName name="SG_17_08_1">[5]RESUMO!#REF!</definedName>
    <definedName name="SG_17_09_1" localSheetId="13">#REF!</definedName>
    <definedName name="SG_17_09_1" localSheetId="14">#REF!</definedName>
    <definedName name="SG_17_09_1" localSheetId="15">#REF!</definedName>
    <definedName name="SG_17_09_1" localSheetId="16">#REF!</definedName>
    <definedName name="SG_17_09_1" localSheetId="17">#REF!</definedName>
    <definedName name="SG_17_09_1" localSheetId="18">#REF!</definedName>
    <definedName name="SG_17_09_1" localSheetId="20">#REF!</definedName>
    <definedName name="SG_17_09_1" localSheetId="21">#REF!</definedName>
    <definedName name="SG_17_09_1" localSheetId="7">#REF!</definedName>
    <definedName name="SG_17_09_1" localSheetId="3">#REF!</definedName>
    <definedName name="SG_17_09_1" localSheetId="11">#REF!</definedName>
    <definedName name="SG_17_09_1">[5]RESUMO!#REF!</definedName>
    <definedName name="SG_17_10_1" localSheetId="13">#REF!</definedName>
    <definedName name="SG_17_10_1" localSheetId="14">#REF!</definedName>
    <definedName name="SG_17_10_1" localSheetId="15">#REF!</definedName>
    <definedName name="SG_17_10_1" localSheetId="16">#REF!</definedName>
    <definedName name="SG_17_10_1" localSheetId="17">#REF!</definedName>
    <definedName name="SG_17_10_1" localSheetId="18">#REF!</definedName>
    <definedName name="SG_17_10_1" localSheetId="20">#REF!</definedName>
    <definedName name="SG_17_10_1" localSheetId="21">#REF!</definedName>
    <definedName name="SG_17_10_1" localSheetId="7">#REF!</definedName>
    <definedName name="SG_17_10_1" localSheetId="3">#REF!</definedName>
    <definedName name="SG_17_10_1" localSheetId="11">#REF!</definedName>
    <definedName name="SG_17_10_1">[5]RESUMO!#REF!</definedName>
    <definedName name="SG_17_11_1" localSheetId="13">#REF!</definedName>
    <definedName name="SG_17_11_1" localSheetId="14">#REF!</definedName>
    <definedName name="SG_17_11_1" localSheetId="15">#REF!</definedName>
    <definedName name="SG_17_11_1" localSheetId="16">#REF!</definedName>
    <definedName name="SG_17_11_1" localSheetId="17">#REF!</definedName>
    <definedName name="SG_17_11_1" localSheetId="18">#REF!</definedName>
    <definedName name="SG_17_11_1" localSheetId="20">#REF!</definedName>
    <definedName name="SG_17_11_1" localSheetId="21">#REF!</definedName>
    <definedName name="SG_17_11_1" localSheetId="7">#REF!</definedName>
    <definedName name="SG_17_11_1" localSheetId="3">#REF!</definedName>
    <definedName name="SG_17_11_1" localSheetId="11">#REF!</definedName>
    <definedName name="SG_17_11_1">[5]RESUMO!#REF!</definedName>
    <definedName name="SG_17_12_1" localSheetId="13">#REF!</definedName>
    <definedName name="SG_17_12_1" localSheetId="14">#REF!</definedName>
    <definedName name="SG_17_12_1" localSheetId="15">#REF!</definedName>
    <definedName name="SG_17_12_1" localSheetId="16">#REF!</definedName>
    <definedName name="SG_17_12_1" localSheetId="17">#REF!</definedName>
    <definedName name="SG_17_12_1" localSheetId="18">#REF!</definedName>
    <definedName name="SG_17_12_1" localSheetId="20">#REF!</definedName>
    <definedName name="SG_17_12_1" localSheetId="21">#REF!</definedName>
    <definedName name="SG_17_12_1" localSheetId="7">#REF!</definedName>
    <definedName name="SG_17_12_1" localSheetId="3">#REF!</definedName>
    <definedName name="SG_17_12_1" localSheetId="11">#REF!</definedName>
    <definedName name="SG_17_12_1">[5]RESUMO!#REF!</definedName>
    <definedName name="SG_17_13_1" localSheetId="13">#REF!</definedName>
    <definedName name="SG_17_13_1" localSheetId="14">#REF!</definedName>
    <definedName name="SG_17_13_1" localSheetId="15">#REF!</definedName>
    <definedName name="SG_17_13_1" localSheetId="16">#REF!</definedName>
    <definedName name="SG_17_13_1" localSheetId="17">#REF!</definedName>
    <definedName name="SG_17_13_1" localSheetId="18">#REF!</definedName>
    <definedName name="SG_17_13_1" localSheetId="20">#REF!</definedName>
    <definedName name="SG_17_13_1" localSheetId="21">#REF!</definedName>
    <definedName name="SG_17_13_1" localSheetId="7">#REF!</definedName>
    <definedName name="SG_17_13_1" localSheetId="3">#REF!</definedName>
    <definedName name="SG_17_13_1" localSheetId="11">#REF!</definedName>
    <definedName name="SG_17_13_1">[5]RESUMO!#REF!</definedName>
    <definedName name="SG_17_14_1" localSheetId="13">#REF!</definedName>
    <definedName name="SG_17_14_1" localSheetId="14">#REF!</definedName>
    <definedName name="SG_17_14_1" localSheetId="15">#REF!</definedName>
    <definedName name="SG_17_14_1" localSheetId="16">#REF!</definedName>
    <definedName name="SG_17_14_1" localSheetId="17">#REF!</definedName>
    <definedName name="SG_17_14_1" localSheetId="18">#REF!</definedName>
    <definedName name="SG_17_14_1" localSheetId="20">#REF!</definedName>
    <definedName name="SG_17_14_1" localSheetId="21">#REF!</definedName>
    <definedName name="SG_17_14_1" localSheetId="7">#REF!</definedName>
    <definedName name="SG_17_14_1" localSheetId="3">#REF!</definedName>
    <definedName name="SG_17_14_1" localSheetId="11">#REF!</definedName>
    <definedName name="SG_17_14_1">[5]RESUMO!#REF!</definedName>
    <definedName name="SG_17_15_1" localSheetId="13">#REF!</definedName>
    <definedName name="SG_17_15_1" localSheetId="14">#REF!</definedName>
    <definedName name="SG_17_15_1" localSheetId="15">#REF!</definedName>
    <definedName name="SG_17_15_1" localSheetId="16">#REF!</definedName>
    <definedName name="SG_17_15_1" localSheetId="17">#REF!</definedName>
    <definedName name="SG_17_15_1" localSheetId="18">#REF!</definedName>
    <definedName name="SG_17_15_1" localSheetId="20">#REF!</definedName>
    <definedName name="SG_17_15_1" localSheetId="21">#REF!</definedName>
    <definedName name="SG_17_15_1" localSheetId="7">#REF!</definedName>
    <definedName name="SG_17_15_1" localSheetId="3">#REF!</definedName>
    <definedName name="SG_17_15_1" localSheetId="11">#REF!</definedName>
    <definedName name="SG_17_15_1">[5]RESUMO!#REF!</definedName>
    <definedName name="SG_17_16_1" localSheetId="13">#REF!</definedName>
    <definedName name="SG_17_16_1" localSheetId="14">#REF!</definedName>
    <definedName name="SG_17_16_1" localSheetId="15">#REF!</definedName>
    <definedName name="SG_17_16_1" localSheetId="16">#REF!</definedName>
    <definedName name="SG_17_16_1" localSheetId="17">#REF!</definedName>
    <definedName name="SG_17_16_1" localSheetId="18">#REF!</definedName>
    <definedName name="SG_17_16_1" localSheetId="20">#REF!</definedName>
    <definedName name="SG_17_16_1" localSheetId="21">#REF!</definedName>
    <definedName name="SG_17_16_1" localSheetId="7">#REF!</definedName>
    <definedName name="SG_17_16_1" localSheetId="3">#REF!</definedName>
    <definedName name="SG_17_16_1" localSheetId="11">#REF!</definedName>
    <definedName name="SG_17_16_1">[5]RESUMO!#REF!</definedName>
    <definedName name="SG_17_17_1" localSheetId="13">#REF!</definedName>
    <definedName name="SG_17_17_1" localSheetId="14">#REF!</definedName>
    <definedName name="SG_17_17_1" localSheetId="15">#REF!</definedName>
    <definedName name="SG_17_17_1" localSheetId="16">#REF!</definedName>
    <definedName name="SG_17_17_1" localSheetId="17">#REF!</definedName>
    <definedName name="SG_17_17_1" localSheetId="18">#REF!</definedName>
    <definedName name="SG_17_17_1" localSheetId="20">#REF!</definedName>
    <definedName name="SG_17_17_1" localSheetId="21">#REF!</definedName>
    <definedName name="SG_17_17_1" localSheetId="7">#REF!</definedName>
    <definedName name="SG_17_17_1" localSheetId="3">#REF!</definedName>
    <definedName name="SG_17_17_1" localSheetId="11">#REF!</definedName>
    <definedName name="SG_17_17_1">[5]RESUMO!#REF!</definedName>
    <definedName name="SG_17_18_1" localSheetId="13">#REF!</definedName>
    <definedName name="SG_17_18_1" localSheetId="14">#REF!</definedName>
    <definedName name="SG_17_18_1" localSheetId="15">#REF!</definedName>
    <definedName name="SG_17_18_1" localSheetId="16">#REF!</definedName>
    <definedName name="SG_17_18_1" localSheetId="17">#REF!</definedName>
    <definedName name="SG_17_18_1" localSheetId="18">#REF!</definedName>
    <definedName name="SG_17_18_1" localSheetId="20">#REF!</definedName>
    <definedName name="SG_17_18_1" localSheetId="21">#REF!</definedName>
    <definedName name="SG_17_18_1" localSheetId="7">#REF!</definedName>
    <definedName name="SG_17_18_1" localSheetId="3">#REF!</definedName>
    <definedName name="SG_17_18_1" localSheetId="11">#REF!</definedName>
    <definedName name="SG_17_18_1">[5]RESUMO!#REF!</definedName>
    <definedName name="SG_17_19_1" localSheetId="13">#REF!</definedName>
    <definedName name="SG_17_19_1" localSheetId="14">#REF!</definedName>
    <definedName name="SG_17_19_1" localSheetId="15">#REF!</definedName>
    <definedName name="SG_17_19_1" localSheetId="16">#REF!</definedName>
    <definedName name="SG_17_19_1" localSheetId="17">#REF!</definedName>
    <definedName name="SG_17_19_1" localSheetId="18">#REF!</definedName>
    <definedName name="SG_17_19_1" localSheetId="20">#REF!</definedName>
    <definedName name="SG_17_19_1" localSheetId="21">#REF!</definedName>
    <definedName name="SG_17_19_1" localSheetId="7">#REF!</definedName>
    <definedName name="SG_17_19_1" localSheetId="3">#REF!</definedName>
    <definedName name="SG_17_19_1" localSheetId="11">#REF!</definedName>
    <definedName name="SG_17_19_1">[5]RESUMO!#REF!</definedName>
    <definedName name="SG_17_20_1" localSheetId="13">#REF!</definedName>
    <definedName name="SG_17_20_1" localSheetId="14">#REF!</definedName>
    <definedName name="SG_17_20_1" localSheetId="15">#REF!</definedName>
    <definedName name="SG_17_20_1" localSheetId="16">#REF!</definedName>
    <definedName name="SG_17_20_1" localSheetId="17">#REF!</definedName>
    <definedName name="SG_17_20_1" localSheetId="18">#REF!</definedName>
    <definedName name="SG_17_20_1" localSheetId="20">#REF!</definedName>
    <definedName name="SG_17_20_1" localSheetId="21">#REF!</definedName>
    <definedName name="SG_17_20_1" localSheetId="7">#REF!</definedName>
    <definedName name="SG_17_20_1" localSheetId="3">#REF!</definedName>
    <definedName name="SG_17_20_1" localSheetId="11">#REF!</definedName>
    <definedName name="SG_17_20_1">[5]RESUMO!#REF!</definedName>
    <definedName name="SG_18_01_1" localSheetId="13">#REF!</definedName>
    <definedName name="SG_18_01_1" localSheetId="14">#REF!</definedName>
    <definedName name="SG_18_01_1" localSheetId="15">#REF!</definedName>
    <definedName name="SG_18_01_1" localSheetId="16">#REF!</definedName>
    <definedName name="SG_18_01_1" localSheetId="17">#REF!</definedName>
    <definedName name="SG_18_01_1" localSheetId="18">#REF!</definedName>
    <definedName name="SG_18_01_1" localSheetId="20">#REF!</definedName>
    <definedName name="SG_18_01_1" localSheetId="21">#REF!</definedName>
    <definedName name="SG_18_01_1" localSheetId="7">#REF!</definedName>
    <definedName name="SG_18_01_1" localSheetId="3">#REF!</definedName>
    <definedName name="SG_18_01_1" localSheetId="11">#REF!</definedName>
    <definedName name="SG_18_01_1">[5]RESUMO!#REF!</definedName>
    <definedName name="SG_18_02_1" localSheetId="13">#REF!</definedName>
    <definedName name="SG_18_02_1" localSheetId="14">#REF!</definedName>
    <definedName name="SG_18_02_1" localSheetId="15">#REF!</definedName>
    <definedName name="SG_18_02_1" localSheetId="16">#REF!</definedName>
    <definedName name="SG_18_02_1" localSheetId="17">#REF!</definedName>
    <definedName name="SG_18_02_1" localSheetId="18">#REF!</definedName>
    <definedName name="SG_18_02_1" localSheetId="20">#REF!</definedName>
    <definedName name="SG_18_02_1" localSheetId="21">#REF!</definedName>
    <definedName name="SG_18_02_1" localSheetId="7">#REF!</definedName>
    <definedName name="SG_18_02_1" localSheetId="3">#REF!</definedName>
    <definedName name="SG_18_02_1" localSheetId="11">#REF!</definedName>
    <definedName name="SG_18_02_1">[5]RESUMO!#REF!</definedName>
    <definedName name="SG_18_03_1" localSheetId="13">#REF!</definedName>
    <definedName name="SG_18_03_1" localSheetId="14">#REF!</definedName>
    <definedName name="SG_18_03_1" localSheetId="15">#REF!</definedName>
    <definedName name="SG_18_03_1" localSheetId="16">#REF!</definedName>
    <definedName name="SG_18_03_1" localSheetId="17">#REF!</definedName>
    <definedName name="SG_18_03_1" localSheetId="18">#REF!</definedName>
    <definedName name="SG_18_03_1" localSheetId="20">#REF!</definedName>
    <definedName name="SG_18_03_1" localSheetId="21">#REF!</definedName>
    <definedName name="SG_18_03_1" localSheetId="7">#REF!</definedName>
    <definedName name="SG_18_03_1" localSheetId="3">#REF!</definedName>
    <definedName name="SG_18_03_1" localSheetId="11">#REF!</definedName>
    <definedName name="SG_18_03_1">[5]RESUMO!#REF!</definedName>
    <definedName name="SG_18_04_1" localSheetId="13">#REF!</definedName>
    <definedName name="SG_18_04_1" localSheetId="14">#REF!</definedName>
    <definedName name="SG_18_04_1" localSheetId="15">#REF!</definedName>
    <definedName name="SG_18_04_1" localSheetId="16">#REF!</definedName>
    <definedName name="SG_18_04_1" localSheetId="17">#REF!</definedName>
    <definedName name="SG_18_04_1" localSheetId="18">#REF!</definedName>
    <definedName name="SG_18_04_1" localSheetId="20">#REF!</definedName>
    <definedName name="SG_18_04_1" localSheetId="21">#REF!</definedName>
    <definedName name="SG_18_04_1" localSheetId="7">#REF!</definedName>
    <definedName name="SG_18_04_1" localSheetId="3">#REF!</definedName>
    <definedName name="SG_18_04_1" localSheetId="11">#REF!</definedName>
    <definedName name="SG_18_04_1">[5]RESUMO!#REF!</definedName>
    <definedName name="SG_18_05_1" localSheetId="13">#REF!</definedName>
    <definedName name="SG_18_05_1" localSheetId="14">#REF!</definedName>
    <definedName name="SG_18_05_1" localSheetId="15">#REF!</definedName>
    <definedName name="SG_18_05_1" localSheetId="16">#REF!</definedName>
    <definedName name="SG_18_05_1" localSheetId="17">#REF!</definedName>
    <definedName name="SG_18_05_1" localSheetId="18">#REF!</definedName>
    <definedName name="SG_18_05_1" localSheetId="20">#REF!</definedName>
    <definedName name="SG_18_05_1" localSheetId="21">#REF!</definedName>
    <definedName name="SG_18_05_1" localSheetId="7">#REF!</definedName>
    <definedName name="SG_18_05_1" localSheetId="3">#REF!</definedName>
    <definedName name="SG_18_05_1" localSheetId="11">#REF!</definedName>
    <definedName name="SG_18_05_1">[5]RESUMO!#REF!</definedName>
    <definedName name="SG_18_06_1" localSheetId="13">#REF!</definedName>
    <definedName name="SG_18_06_1" localSheetId="14">#REF!</definedName>
    <definedName name="SG_18_06_1" localSheetId="15">#REF!</definedName>
    <definedName name="SG_18_06_1" localSheetId="16">#REF!</definedName>
    <definedName name="SG_18_06_1" localSheetId="17">#REF!</definedName>
    <definedName name="SG_18_06_1" localSheetId="18">#REF!</definedName>
    <definedName name="SG_18_06_1" localSheetId="20">#REF!</definedName>
    <definedName name="SG_18_06_1" localSheetId="21">#REF!</definedName>
    <definedName name="SG_18_06_1" localSheetId="7">#REF!</definedName>
    <definedName name="SG_18_06_1" localSheetId="3">#REF!</definedName>
    <definedName name="SG_18_06_1" localSheetId="11">#REF!</definedName>
    <definedName name="SG_18_06_1">[5]RESUMO!#REF!</definedName>
    <definedName name="SG_18_07_1" localSheetId="13">#REF!</definedName>
    <definedName name="SG_18_07_1" localSheetId="14">#REF!</definedName>
    <definedName name="SG_18_07_1" localSheetId="15">#REF!</definedName>
    <definedName name="SG_18_07_1" localSheetId="16">#REF!</definedName>
    <definedName name="SG_18_07_1" localSheetId="17">#REF!</definedName>
    <definedName name="SG_18_07_1" localSheetId="18">#REF!</definedName>
    <definedName name="SG_18_07_1" localSheetId="20">#REF!</definedName>
    <definedName name="SG_18_07_1" localSheetId="21">#REF!</definedName>
    <definedName name="SG_18_07_1" localSheetId="7">#REF!</definedName>
    <definedName name="SG_18_07_1" localSheetId="3">#REF!</definedName>
    <definedName name="SG_18_07_1" localSheetId="11">#REF!</definedName>
    <definedName name="SG_18_07_1">[5]RESUMO!#REF!</definedName>
    <definedName name="SG_18_08_1" localSheetId="13">#REF!</definedName>
    <definedName name="SG_18_08_1" localSheetId="14">#REF!</definedName>
    <definedName name="SG_18_08_1" localSheetId="15">#REF!</definedName>
    <definedName name="SG_18_08_1" localSheetId="16">#REF!</definedName>
    <definedName name="SG_18_08_1" localSheetId="17">#REF!</definedName>
    <definedName name="SG_18_08_1" localSheetId="18">#REF!</definedName>
    <definedName name="SG_18_08_1" localSheetId="20">#REF!</definedName>
    <definedName name="SG_18_08_1" localSheetId="21">#REF!</definedName>
    <definedName name="SG_18_08_1" localSheetId="7">#REF!</definedName>
    <definedName name="SG_18_08_1" localSheetId="3">#REF!</definedName>
    <definedName name="SG_18_08_1" localSheetId="11">#REF!</definedName>
    <definedName name="SG_18_08_1">[5]RESUMO!#REF!</definedName>
    <definedName name="SG_18_09_1" localSheetId="13">#REF!</definedName>
    <definedName name="SG_18_09_1" localSheetId="14">#REF!</definedName>
    <definedName name="SG_18_09_1" localSheetId="15">#REF!</definedName>
    <definedName name="SG_18_09_1" localSheetId="16">#REF!</definedName>
    <definedName name="SG_18_09_1" localSheetId="17">#REF!</definedName>
    <definedName name="SG_18_09_1" localSheetId="18">#REF!</definedName>
    <definedName name="SG_18_09_1" localSheetId="20">#REF!</definedName>
    <definedName name="SG_18_09_1" localSheetId="21">#REF!</definedName>
    <definedName name="SG_18_09_1" localSheetId="7">#REF!</definedName>
    <definedName name="SG_18_09_1" localSheetId="3">#REF!</definedName>
    <definedName name="SG_18_09_1" localSheetId="11">#REF!</definedName>
    <definedName name="SG_18_09_1">[5]RESUMO!#REF!</definedName>
    <definedName name="SG_18_10_1" localSheetId="13">#REF!</definedName>
    <definedName name="SG_18_10_1" localSheetId="14">#REF!</definedName>
    <definedName name="SG_18_10_1" localSheetId="15">#REF!</definedName>
    <definedName name="SG_18_10_1" localSheetId="16">#REF!</definedName>
    <definedName name="SG_18_10_1" localSheetId="17">#REF!</definedName>
    <definedName name="SG_18_10_1" localSheetId="18">#REF!</definedName>
    <definedName name="SG_18_10_1" localSheetId="20">#REF!</definedName>
    <definedName name="SG_18_10_1" localSheetId="21">#REF!</definedName>
    <definedName name="SG_18_10_1" localSheetId="7">#REF!</definedName>
    <definedName name="SG_18_10_1" localSheetId="3">#REF!</definedName>
    <definedName name="SG_18_10_1" localSheetId="11">#REF!</definedName>
    <definedName name="SG_18_10_1">[5]RESUMO!#REF!</definedName>
    <definedName name="SG_18_11_1" localSheetId="13">#REF!</definedName>
    <definedName name="SG_18_11_1" localSheetId="14">#REF!</definedName>
    <definedName name="SG_18_11_1" localSheetId="15">#REF!</definedName>
    <definedName name="SG_18_11_1" localSheetId="16">#REF!</definedName>
    <definedName name="SG_18_11_1" localSheetId="17">#REF!</definedName>
    <definedName name="SG_18_11_1" localSheetId="18">#REF!</definedName>
    <definedName name="SG_18_11_1" localSheetId="20">#REF!</definedName>
    <definedName name="SG_18_11_1" localSheetId="21">#REF!</definedName>
    <definedName name="SG_18_11_1" localSheetId="7">#REF!</definedName>
    <definedName name="SG_18_11_1" localSheetId="3">#REF!</definedName>
    <definedName name="SG_18_11_1" localSheetId="11">#REF!</definedName>
    <definedName name="SG_18_11_1">[5]RESUMO!#REF!</definedName>
    <definedName name="SG_18_12_1" localSheetId="13">#REF!</definedName>
    <definedName name="SG_18_12_1" localSheetId="14">#REF!</definedName>
    <definedName name="SG_18_12_1" localSheetId="15">#REF!</definedName>
    <definedName name="SG_18_12_1" localSheetId="16">#REF!</definedName>
    <definedName name="SG_18_12_1" localSheetId="17">#REF!</definedName>
    <definedName name="SG_18_12_1" localSheetId="18">#REF!</definedName>
    <definedName name="SG_18_12_1" localSheetId="20">#REF!</definedName>
    <definedName name="SG_18_12_1" localSheetId="21">#REF!</definedName>
    <definedName name="SG_18_12_1" localSheetId="7">#REF!</definedName>
    <definedName name="SG_18_12_1" localSheetId="3">#REF!</definedName>
    <definedName name="SG_18_12_1" localSheetId="11">#REF!</definedName>
    <definedName name="SG_18_12_1">[5]RESUMO!#REF!</definedName>
    <definedName name="SG_18_13_1" localSheetId="13">#REF!</definedName>
    <definedName name="SG_18_13_1" localSheetId="14">#REF!</definedName>
    <definedName name="SG_18_13_1" localSheetId="15">#REF!</definedName>
    <definedName name="SG_18_13_1" localSheetId="16">#REF!</definedName>
    <definedName name="SG_18_13_1" localSheetId="17">#REF!</definedName>
    <definedName name="SG_18_13_1" localSheetId="18">#REF!</definedName>
    <definedName name="SG_18_13_1" localSheetId="20">#REF!</definedName>
    <definedName name="SG_18_13_1" localSheetId="21">#REF!</definedName>
    <definedName name="SG_18_13_1" localSheetId="7">#REF!</definedName>
    <definedName name="SG_18_13_1" localSheetId="3">#REF!</definedName>
    <definedName name="SG_18_13_1" localSheetId="11">#REF!</definedName>
    <definedName name="SG_18_13_1">[5]RESUMO!#REF!</definedName>
    <definedName name="SG_18_14_1" localSheetId="13">#REF!</definedName>
    <definedName name="SG_18_14_1" localSheetId="14">#REF!</definedName>
    <definedName name="SG_18_14_1" localSheetId="15">#REF!</definedName>
    <definedName name="SG_18_14_1" localSheetId="16">#REF!</definedName>
    <definedName name="SG_18_14_1" localSheetId="17">#REF!</definedName>
    <definedName name="SG_18_14_1" localSheetId="18">#REF!</definedName>
    <definedName name="SG_18_14_1" localSheetId="20">#REF!</definedName>
    <definedName name="SG_18_14_1" localSheetId="21">#REF!</definedName>
    <definedName name="SG_18_14_1" localSheetId="7">#REF!</definedName>
    <definedName name="SG_18_14_1" localSheetId="3">#REF!</definedName>
    <definedName name="SG_18_14_1" localSheetId="11">#REF!</definedName>
    <definedName name="SG_18_14_1">[5]RESUMO!#REF!</definedName>
    <definedName name="SG_18_15_1" localSheetId="13">#REF!</definedName>
    <definedName name="SG_18_15_1" localSheetId="14">#REF!</definedName>
    <definedName name="SG_18_15_1" localSheetId="15">#REF!</definedName>
    <definedName name="SG_18_15_1" localSheetId="16">#REF!</definedName>
    <definedName name="SG_18_15_1" localSheetId="17">#REF!</definedName>
    <definedName name="SG_18_15_1" localSheetId="18">#REF!</definedName>
    <definedName name="SG_18_15_1" localSheetId="20">#REF!</definedName>
    <definedName name="SG_18_15_1" localSheetId="21">#REF!</definedName>
    <definedName name="SG_18_15_1" localSheetId="7">#REF!</definedName>
    <definedName name="SG_18_15_1" localSheetId="3">#REF!</definedName>
    <definedName name="SG_18_15_1" localSheetId="11">#REF!</definedName>
    <definedName name="SG_18_15_1">[5]RESUMO!#REF!</definedName>
    <definedName name="SG_18_16_1" localSheetId="13">#REF!</definedName>
    <definedName name="SG_18_16_1" localSheetId="14">#REF!</definedName>
    <definedName name="SG_18_16_1" localSheetId="15">#REF!</definedName>
    <definedName name="SG_18_16_1" localSheetId="16">#REF!</definedName>
    <definedName name="SG_18_16_1" localSheetId="17">#REF!</definedName>
    <definedName name="SG_18_16_1" localSheetId="18">#REF!</definedName>
    <definedName name="SG_18_16_1" localSheetId="20">#REF!</definedName>
    <definedName name="SG_18_16_1" localSheetId="21">#REF!</definedName>
    <definedName name="SG_18_16_1" localSheetId="7">#REF!</definedName>
    <definedName name="SG_18_16_1" localSheetId="3">#REF!</definedName>
    <definedName name="SG_18_16_1" localSheetId="11">#REF!</definedName>
    <definedName name="SG_18_16_1">[5]RESUMO!#REF!</definedName>
    <definedName name="SG_18_17_1" localSheetId="13">#REF!</definedName>
    <definedName name="SG_18_17_1" localSheetId="14">#REF!</definedName>
    <definedName name="SG_18_17_1" localSheetId="15">#REF!</definedName>
    <definedName name="SG_18_17_1" localSheetId="16">#REF!</definedName>
    <definedName name="SG_18_17_1" localSheetId="17">#REF!</definedName>
    <definedName name="SG_18_17_1" localSheetId="18">#REF!</definedName>
    <definedName name="SG_18_17_1" localSheetId="20">#REF!</definedName>
    <definedName name="SG_18_17_1" localSheetId="21">#REF!</definedName>
    <definedName name="SG_18_17_1" localSheetId="7">#REF!</definedName>
    <definedName name="SG_18_17_1" localSheetId="3">#REF!</definedName>
    <definedName name="SG_18_17_1" localSheetId="11">#REF!</definedName>
    <definedName name="SG_18_17_1">[5]RESUMO!#REF!</definedName>
    <definedName name="SG_18_18_1" localSheetId="13">#REF!</definedName>
    <definedName name="SG_18_18_1" localSheetId="14">#REF!</definedName>
    <definedName name="SG_18_18_1" localSheetId="15">#REF!</definedName>
    <definedName name="SG_18_18_1" localSheetId="16">#REF!</definedName>
    <definedName name="SG_18_18_1" localSheetId="17">#REF!</definedName>
    <definedName name="SG_18_18_1" localSheetId="18">#REF!</definedName>
    <definedName name="SG_18_18_1" localSheetId="20">#REF!</definedName>
    <definedName name="SG_18_18_1" localSheetId="21">#REF!</definedName>
    <definedName name="SG_18_18_1" localSheetId="7">#REF!</definedName>
    <definedName name="SG_18_18_1" localSheetId="3">#REF!</definedName>
    <definedName name="SG_18_18_1" localSheetId="11">#REF!</definedName>
    <definedName name="SG_18_18_1">[5]RESUMO!#REF!</definedName>
    <definedName name="SG_18_19_1" localSheetId="13">#REF!</definedName>
    <definedName name="SG_18_19_1" localSheetId="14">#REF!</definedName>
    <definedName name="SG_18_19_1" localSheetId="15">#REF!</definedName>
    <definedName name="SG_18_19_1" localSheetId="16">#REF!</definedName>
    <definedName name="SG_18_19_1" localSheetId="17">#REF!</definedName>
    <definedName name="SG_18_19_1" localSheetId="18">#REF!</definedName>
    <definedName name="SG_18_19_1" localSheetId="20">#REF!</definedName>
    <definedName name="SG_18_19_1" localSheetId="21">#REF!</definedName>
    <definedName name="SG_18_19_1" localSheetId="7">#REF!</definedName>
    <definedName name="SG_18_19_1" localSheetId="3">#REF!</definedName>
    <definedName name="SG_18_19_1" localSheetId="11">#REF!</definedName>
    <definedName name="SG_18_19_1">[5]RESUMO!#REF!</definedName>
    <definedName name="SG_18_20_1" localSheetId="13">#REF!</definedName>
    <definedName name="SG_18_20_1" localSheetId="14">#REF!</definedName>
    <definedName name="SG_18_20_1" localSheetId="15">#REF!</definedName>
    <definedName name="SG_18_20_1" localSheetId="16">#REF!</definedName>
    <definedName name="SG_18_20_1" localSheetId="17">#REF!</definedName>
    <definedName name="SG_18_20_1" localSheetId="18">#REF!</definedName>
    <definedName name="SG_18_20_1" localSheetId="20">#REF!</definedName>
    <definedName name="SG_18_20_1" localSheetId="21">#REF!</definedName>
    <definedName name="SG_18_20_1" localSheetId="7">#REF!</definedName>
    <definedName name="SG_18_20_1" localSheetId="3">#REF!</definedName>
    <definedName name="SG_18_20_1" localSheetId="11">#REF!</definedName>
    <definedName name="SG_18_20_1">[5]RESUMO!#REF!</definedName>
    <definedName name="SG_19_01_1" localSheetId="13">#REF!</definedName>
    <definedName name="SG_19_01_1" localSheetId="14">#REF!</definedName>
    <definedName name="SG_19_01_1" localSheetId="15">#REF!</definedName>
    <definedName name="SG_19_01_1" localSheetId="16">#REF!</definedName>
    <definedName name="SG_19_01_1" localSheetId="17">#REF!</definedName>
    <definedName name="SG_19_01_1" localSheetId="18">#REF!</definedName>
    <definedName name="SG_19_01_1" localSheetId="20">#REF!</definedName>
    <definedName name="SG_19_01_1" localSheetId="21">#REF!</definedName>
    <definedName name="SG_19_01_1" localSheetId="7">#REF!</definedName>
    <definedName name="SG_19_01_1" localSheetId="3">#REF!</definedName>
    <definedName name="SG_19_01_1" localSheetId="11">#REF!</definedName>
    <definedName name="SG_19_01_1">[5]RESUMO!#REF!</definedName>
    <definedName name="SG_19_02_1" localSheetId="13">#REF!</definedName>
    <definedName name="SG_19_02_1" localSheetId="14">#REF!</definedName>
    <definedName name="SG_19_02_1" localSheetId="15">#REF!</definedName>
    <definedName name="SG_19_02_1" localSheetId="16">#REF!</definedName>
    <definedName name="SG_19_02_1" localSheetId="17">#REF!</definedName>
    <definedName name="SG_19_02_1" localSheetId="18">#REF!</definedName>
    <definedName name="SG_19_02_1" localSheetId="20">#REF!</definedName>
    <definedName name="SG_19_02_1" localSheetId="21">#REF!</definedName>
    <definedName name="SG_19_02_1" localSheetId="7">#REF!</definedName>
    <definedName name="SG_19_02_1" localSheetId="3">#REF!</definedName>
    <definedName name="SG_19_02_1" localSheetId="11">#REF!</definedName>
    <definedName name="SG_19_02_1">[5]RESUMO!#REF!</definedName>
    <definedName name="SG_19_03_1" localSheetId="13">#REF!</definedName>
    <definedName name="SG_19_03_1" localSheetId="14">#REF!</definedName>
    <definedName name="SG_19_03_1" localSheetId="15">#REF!</definedName>
    <definedName name="SG_19_03_1" localSheetId="16">#REF!</definedName>
    <definedName name="SG_19_03_1" localSheetId="17">#REF!</definedName>
    <definedName name="SG_19_03_1" localSheetId="18">#REF!</definedName>
    <definedName name="SG_19_03_1" localSheetId="20">#REF!</definedName>
    <definedName name="SG_19_03_1" localSheetId="21">#REF!</definedName>
    <definedName name="SG_19_03_1" localSheetId="7">#REF!</definedName>
    <definedName name="SG_19_03_1" localSheetId="3">#REF!</definedName>
    <definedName name="SG_19_03_1" localSheetId="11">#REF!</definedName>
    <definedName name="SG_19_03_1">[5]RESUMO!#REF!</definedName>
    <definedName name="SG_19_04_1" localSheetId="13">#REF!</definedName>
    <definedName name="SG_19_04_1" localSheetId="14">#REF!</definedName>
    <definedName name="SG_19_04_1" localSheetId="15">#REF!</definedName>
    <definedName name="SG_19_04_1" localSheetId="16">#REF!</definedName>
    <definedName name="SG_19_04_1" localSheetId="17">#REF!</definedName>
    <definedName name="SG_19_04_1" localSheetId="18">#REF!</definedName>
    <definedName name="SG_19_04_1" localSheetId="20">#REF!</definedName>
    <definedName name="SG_19_04_1" localSheetId="21">#REF!</definedName>
    <definedName name="SG_19_04_1" localSheetId="7">#REF!</definedName>
    <definedName name="SG_19_04_1" localSheetId="3">#REF!</definedName>
    <definedName name="SG_19_04_1" localSheetId="11">#REF!</definedName>
    <definedName name="SG_19_04_1">[5]RESUMO!#REF!</definedName>
    <definedName name="SG_19_05_1" localSheetId="13">#REF!</definedName>
    <definedName name="SG_19_05_1" localSheetId="14">#REF!</definedName>
    <definedName name="SG_19_05_1" localSheetId="15">#REF!</definedName>
    <definedName name="SG_19_05_1" localSheetId="16">#REF!</definedName>
    <definedName name="SG_19_05_1" localSheetId="17">#REF!</definedName>
    <definedName name="SG_19_05_1" localSheetId="18">#REF!</definedName>
    <definedName name="SG_19_05_1" localSheetId="20">#REF!</definedName>
    <definedName name="SG_19_05_1" localSheetId="21">#REF!</definedName>
    <definedName name="SG_19_05_1" localSheetId="7">#REF!</definedName>
    <definedName name="SG_19_05_1" localSheetId="3">#REF!</definedName>
    <definedName name="SG_19_05_1" localSheetId="11">#REF!</definedName>
    <definedName name="SG_19_05_1">[5]RESUMO!#REF!</definedName>
    <definedName name="SG_19_06_1" localSheetId="13">#REF!</definedName>
    <definedName name="SG_19_06_1" localSheetId="14">#REF!</definedName>
    <definedName name="SG_19_06_1" localSheetId="15">#REF!</definedName>
    <definedName name="SG_19_06_1" localSheetId="16">#REF!</definedName>
    <definedName name="SG_19_06_1" localSheetId="17">#REF!</definedName>
    <definedName name="SG_19_06_1" localSheetId="18">#REF!</definedName>
    <definedName name="SG_19_06_1" localSheetId="20">#REF!</definedName>
    <definedName name="SG_19_06_1" localSheetId="21">#REF!</definedName>
    <definedName name="SG_19_06_1" localSheetId="7">#REF!</definedName>
    <definedName name="SG_19_06_1" localSheetId="3">#REF!</definedName>
    <definedName name="SG_19_06_1" localSheetId="11">#REF!</definedName>
    <definedName name="SG_19_06_1">[5]RESUMO!#REF!</definedName>
    <definedName name="SG_19_07_1" localSheetId="13">#REF!</definedName>
    <definedName name="SG_19_07_1" localSheetId="14">#REF!</definedName>
    <definedName name="SG_19_07_1" localSheetId="15">#REF!</definedName>
    <definedName name="SG_19_07_1" localSheetId="16">#REF!</definedName>
    <definedName name="SG_19_07_1" localSheetId="17">#REF!</definedName>
    <definedName name="SG_19_07_1" localSheetId="18">#REF!</definedName>
    <definedName name="SG_19_07_1" localSheetId="20">#REF!</definedName>
    <definedName name="SG_19_07_1" localSheetId="21">#REF!</definedName>
    <definedName name="SG_19_07_1" localSheetId="7">#REF!</definedName>
    <definedName name="SG_19_07_1" localSheetId="3">#REF!</definedName>
    <definedName name="SG_19_07_1" localSheetId="11">#REF!</definedName>
    <definedName name="SG_19_07_1">[5]RESUMO!#REF!</definedName>
    <definedName name="SG_19_08_1" localSheetId="13">#REF!</definedName>
    <definedName name="SG_19_08_1" localSheetId="14">#REF!</definedName>
    <definedName name="SG_19_08_1" localSheetId="15">#REF!</definedName>
    <definedName name="SG_19_08_1" localSheetId="16">#REF!</definedName>
    <definedName name="SG_19_08_1" localSheetId="17">#REF!</definedName>
    <definedName name="SG_19_08_1" localSheetId="18">#REF!</definedName>
    <definedName name="SG_19_08_1" localSheetId="20">#REF!</definedName>
    <definedName name="SG_19_08_1" localSheetId="21">#REF!</definedName>
    <definedName name="SG_19_08_1" localSheetId="7">#REF!</definedName>
    <definedName name="SG_19_08_1" localSheetId="3">#REF!</definedName>
    <definedName name="SG_19_08_1" localSheetId="11">#REF!</definedName>
    <definedName name="SG_19_08_1">[5]RESUMO!#REF!</definedName>
    <definedName name="SG_19_09_1" localSheetId="13">#REF!</definedName>
    <definedName name="SG_19_09_1" localSheetId="14">#REF!</definedName>
    <definedName name="SG_19_09_1" localSheetId="15">#REF!</definedName>
    <definedName name="SG_19_09_1" localSheetId="16">#REF!</definedName>
    <definedName name="SG_19_09_1" localSheetId="17">#REF!</definedName>
    <definedName name="SG_19_09_1" localSheetId="18">#REF!</definedName>
    <definedName name="SG_19_09_1" localSheetId="20">#REF!</definedName>
    <definedName name="SG_19_09_1" localSheetId="21">#REF!</definedName>
    <definedName name="SG_19_09_1" localSheetId="7">#REF!</definedName>
    <definedName name="SG_19_09_1" localSheetId="3">#REF!</definedName>
    <definedName name="SG_19_09_1" localSheetId="11">#REF!</definedName>
    <definedName name="SG_19_09_1">[5]RESUMO!#REF!</definedName>
    <definedName name="SG_19_10_1" localSheetId="13">#REF!</definedName>
    <definedName name="SG_19_10_1" localSheetId="14">#REF!</definedName>
    <definedName name="SG_19_10_1" localSheetId="15">#REF!</definedName>
    <definedName name="SG_19_10_1" localSheetId="16">#REF!</definedName>
    <definedName name="SG_19_10_1" localSheetId="17">#REF!</definedName>
    <definedName name="SG_19_10_1" localSheetId="18">#REF!</definedName>
    <definedName name="SG_19_10_1" localSheetId="20">#REF!</definedName>
    <definedName name="SG_19_10_1" localSheetId="21">#REF!</definedName>
    <definedName name="SG_19_10_1" localSheetId="7">#REF!</definedName>
    <definedName name="SG_19_10_1" localSheetId="3">#REF!</definedName>
    <definedName name="SG_19_10_1" localSheetId="11">#REF!</definedName>
    <definedName name="SG_19_10_1">[5]RESUMO!#REF!</definedName>
    <definedName name="SG_19_11_1" localSheetId="13">#REF!</definedName>
    <definedName name="SG_19_11_1" localSheetId="14">#REF!</definedName>
    <definedName name="SG_19_11_1" localSheetId="15">#REF!</definedName>
    <definedName name="SG_19_11_1" localSheetId="16">#REF!</definedName>
    <definedName name="SG_19_11_1" localSheetId="17">#REF!</definedName>
    <definedName name="SG_19_11_1" localSheetId="18">#REF!</definedName>
    <definedName name="SG_19_11_1" localSheetId="20">#REF!</definedName>
    <definedName name="SG_19_11_1" localSheetId="21">#REF!</definedName>
    <definedName name="SG_19_11_1" localSheetId="7">#REF!</definedName>
    <definedName name="SG_19_11_1" localSheetId="3">#REF!</definedName>
    <definedName name="SG_19_11_1" localSheetId="11">#REF!</definedName>
    <definedName name="SG_19_11_1">[5]RESUMO!#REF!</definedName>
    <definedName name="SG_19_12_1" localSheetId="13">#REF!</definedName>
    <definedName name="SG_19_12_1" localSheetId="14">#REF!</definedName>
    <definedName name="SG_19_12_1" localSheetId="15">#REF!</definedName>
    <definedName name="SG_19_12_1" localSheetId="16">#REF!</definedName>
    <definedName name="SG_19_12_1" localSheetId="17">#REF!</definedName>
    <definedName name="SG_19_12_1" localSheetId="18">#REF!</definedName>
    <definedName name="SG_19_12_1" localSheetId="20">#REF!</definedName>
    <definedName name="SG_19_12_1" localSheetId="21">#REF!</definedName>
    <definedName name="SG_19_12_1" localSheetId="7">#REF!</definedName>
    <definedName name="SG_19_12_1" localSheetId="3">#REF!</definedName>
    <definedName name="SG_19_12_1" localSheetId="11">#REF!</definedName>
    <definedName name="SG_19_12_1">[5]RESUMO!#REF!</definedName>
    <definedName name="SG_19_13_1" localSheetId="13">#REF!</definedName>
    <definedName name="SG_19_13_1" localSheetId="14">#REF!</definedName>
    <definedName name="SG_19_13_1" localSheetId="15">#REF!</definedName>
    <definedName name="SG_19_13_1" localSheetId="16">#REF!</definedName>
    <definedName name="SG_19_13_1" localSheetId="17">#REF!</definedName>
    <definedName name="SG_19_13_1" localSheetId="18">#REF!</definedName>
    <definedName name="SG_19_13_1" localSheetId="20">#REF!</definedName>
    <definedName name="SG_19_13_1" localSheetId="21">#REF!</definedName>
    <definedName name="SG_19_13_1" localSheetId="7">#REF!</definedName>
    <definedName name="SG_19_13_1" localSheetId="3">#REF!</definedName>
    <definedName name="SG_19_13_1" localSheetId="11">#REF!</definedName>
    <definedName name="SG_19_13_1">[5]RESUMO!#REF!</definedName>
    <definedName name="SG_19_14_1" localSheetId="13">#REF!</definedName>
    <definedName name="SG_19_14_1" localSheetId="14">#REF!</definedName>
    <definedName name="SG_19_14_1" localSheetId="15">#REF!</definedName>
    <definedName name="SG_19_14_1" localSheetId="16">#REF!</definedName>
    <definedName name="SG_19_14_1" localSheetId="17">#REF!</definedName>
    <definedName name="SG_19_14_1" localSheetId="18">#REF!</definedName>
    <definedName name="SG_19_14_1" localSheetId="20">#REF!</definedName>
    <definedName name="SG_19_14_1" localSheetId="21">#REF!</definedName>
    <definedName name="SG_19_14_1" localSheetId="7">#REF!</definedName>
    <definedName name="SG_19_14_1" localSheetId="3">#REF!</definedName>
    <definedName name="SG_19_14_1" localSheetId="11">#REF!</definedName>
    <definedName name="SG_19_14_1">[5]RESUMO!#REF!</definedName>
    <definedName name="SG_19_15_1" localSheetId="13">#REF!</definedName>
    <definedName name="SG_19_15_1" localSheetId="14">#REF!</definedName>
    <definedName name="SG_19_15_1" localSheetId="15">#REF!</definedName>
    <definedName name="SG_19_15_1" localSheetId="16">#REF!</definedName>
    <definedName name="SG_19_15_1" localSheetId="17">#REF!</definedName>
    <definedName name="SG_19_15_1" localSheetId="18">#REF!</definedName>
    <definedName name="SG_19_15_1" localSheetId="20">#REF!</definedName>
    <definedName name="SG_19_15_1" localSheetId="21">#REF!</definedName>
    <definedName name="SG_19_15_1" localSheetId="7">#REF!</definedName>
    <definedName name="SG_19_15_1" localSheetId="3">#REF!</definedName>
    <definedName name="SG_19_15_1" localSheetId="11">#REF!</definedName>
    <definedName name="SG_19_15_1">[5]RESUMO!#REF!</definedName>
    <definedName name="SG_19_16_1" localSheetId="13">#REF!</definedName>
    <definedName name="SG_19_16_1" localSheetId="14">#REF!</definedName>
    <definedName name="SG_19_16_1" localSheetId="15">#REF!</definedName>
    <definedName name="SG_19_16_1" localSheetId="16">#REF!</definedName>
    <definedName name="SG_19_16_1" localSheetId="17">#REF!</definedName>
    <definedName name="SG_19_16_1" localSheetId="18">#REF!</definedName>
    <definedName name="SG_19_16_1" localSheetId="20">#REF!</definedName>
    <definedName name="SG_19_16_1" localSheetId="21">#REF!</definedName>
    <definedName name="SG_19_16_1" localSheetId="7">#REF!</definedName>
    <definedName name="SG_19_16_1" localSheetId="3">#REF!</definedName>
    <definedName name="SG_19_16_1" localSheetId="11">#REF!</definedName>
    <definedName name="SG_19_16_1">[5]RESUMO!#REF!</definedName>
    <definedName name="SG_19_17_1" localSheetId="13">#REF!</definedName>
    <definedName name="SG_19_17_1" localSheetId="14">#REF!</definedName>
    <definedName name="SG_19_17_1" localSheetId="15">#REF!</definedName>
    <definedName name="SG_19_17_1" localSheetId="16">#REF!</definedName>
    <definedName name="SG_19_17_1" localSheetId="17">#REF!</definedName>
    <definedName name="SG_19_17_1" localSheetId="18">#REF!</definedName>
    <definedName name="SG_19_17_1" localSheetId="20">#REF!</definedName>
    <definedName name="SG_19_17_1" localSheetId="21">#REF!</definedName>
    <definedName name="SG_19_17_1" localSheetId="7">#REF!</definedName>
    <definedName name="SG_19_17_1" localSheetId="3">#REF!</definedName>
    <definedName name="SG_19_17_1" localSheetId="11">#REF!</definedName>
    <definedName name="SG_19_17_1">[5]RESUMO!#REF!</definedName>
    <definedName name="SG_19_18_1" localSheetId="13">#REF!</definedName>
    <definedName name="SG_19_18_1" localSheetId="14">#REF!</definedName>
    <definedName name="SG_19_18_1" localSheetId="15">#REF!</definedName>
    <definedName name="SG_19_18_1" localSheetId="16">#REF!</definedName>
    <definedName name="SG_19_18_1" localSheetId="17">#REF!</definedName>
    <definedName name="SG_19_18_1" localSheetId="18">#REF!</definedName>
    <definedName name="SG_19_18_1" localSheetId="20">#REF!</definedName>
    <definedName name="SG_19_18_1" localSheetId="21">#REF!</definedName>
    <definedName name="SG_19_18_1" localSheetId="7">#REF!</definedName>
    <definedName name="SG_19_18_1" localSheetId="3">#REF!</definedName>
    <definedName name="SG_19_18_1" localSheetId="11">#REF!</definedName>
    <definedName name="SG_19_18_1">[5]RESUMO!#REF!</definedName>
    <definedName name="SG_19_19_1" localSheetId="13">#REF!</definedName>
    <definedName name="SG_19_19_1" localSheetId="14">#REF!</definedName>
    <definedName name="SG_19_19_1" localSheetId="15">#REF!</definedName>
    <definedName name="SG_19_19_1" localSheetId="16">#REF!</definedName>
    <definedName name="SG_19_19_1" localSheetId="17">#REF!</definedName>
    <definedName name="SG_19_19_1" localSheetId="18">#REF!</definedName>
    <definedName name="SG_19_19_1" localSheetId="20">#REF!</definedName>
    <definedName name="SG_19_19_1" localSheetId="21">#REF!</definedName>
    <definedName name="SG_19_19_1" localSheetId="7">#REF!</definedName>
    <definedName name="SG_19_19_1" localSheetId="3">#REF!</definedName>
    <definedName name="SG_19_19_1" localSheetId="11">#REF!</definedName>
    <definedName name="SG_19_19_1">[5]RESUMO!#REF!</definedName>
    <definedName name="SG_19_20_1" localSheetId="13">#REF!</definedName>
    <definedName name="SG_19_20_1" localSheetId="14">#REF!</definedName>
    <definedName name="SG_19_20_1" localSheetId="15">#REF!</definedName>
    <definedName name="SG_19_20_1" localSheetId="16">#REF!</definedName>
    <definedName name="SG_19_20_1" localSheetId="17">#REF!</definedName>
    <definedName name="SG_19_20_1" localSheetId="18">#REF!</definedName>
    <definedName name="SG_19_20_1" localSheetId="20">#REF!</definedName>
    <definedName name="SG_19_20_1" localSheetId="21">#REF!</definedName>
    <definedName name="SG_19_20_1" localSheetId="7">#REF!</definedName>
    <definedName name="SG_19_20_1" localSheetId="3">#REF!</definedName>
    <definedName name="SG_19_20_1" localSheetId="11">#REF!</definedName>
    <definedName name="SG_19_20_1">[5]RESUMO!#REF!</definedName>
    <definedName name="SG_20_01_1" localSheetId="13">#REF!</definedName>
    <definedName name="SG_20_01_1" localSheetId="14">#REF!</definedName>
    <definedName name="SG_20_01_1" localSheetId="15">#REF!</definedName>
    <definedName name="SG_20_01_1" localSheetId="16">#REF!</definedName>
    <definedName name="SG_20_01_1" localSheetId="17">#REF!</definedName>
    <definedName name="SG_20_01_1" localSheetId="18">#REF!</definedName>
    <definedName name="SG_20_01_1" localSheetId="20">#REF!</definedName>
    <definedName name="SG_20_01_1" localSheetId="21">#REF!</definedName>
    <definedName name="SG_20_01_1" localSheetId="7">#REF!</definedName>
    <definedName name="SG_20_01_1" localSheetId="3">#REF!</definedName>
    <definedName name="SG_20_01_1" localSheetId="11">#REF!</definedName>
    <definedName name="SG_20_01_1">[5]RESUMO!#REF!</definedName>
    <definedName name="SG_20_02_1" localSheetId="13">#REF!</definedName>
    <definedName name="SG_20_02_1" localSheetId="14">#REF!</definedName>
    <definedName name="SG_20_02_1" localSheetId="15">#REF!</definedName>
    <definedName name="SG_20_02_1" localSheetId="16">#REF!</definedName>
    <definedName name="SG_20_02_1" localSheetId="17">#REF!</definedName>
    <definedName name="SG_20_02_1" localSheetId="18">#REF!</definedName>
    <definedName name="SG_20_02_1" localSheetId="20">#REF!</definedName>
    <definedName name="SG_20_02_1" localSheetId="21">#REF!</definedName>
    <definedName name="SG_20_02_1" localSheetId="7">#REF!</definedName>
    <definedName name="SG_20_02_1" localSheetId="3">#REF!</definedName>
    <definedName name="SG_20_02_1" localSheetId="11">#REF!</definedName>
    <definedName name="SG_20_02_1">[5]RESUMO!#REF!</definedName>
    <definedName name="SG_20_03_1" localSheetId="13">#REF!</definedName>
    <definedName name="SG_20_03_1" localSheetId="14">#REF!</definedName>
    <definedName name="SG_20_03_1" localSheetId="15">#REF!</definedName>
    <definedName name="SG_20_03_1" localSheetId="16">#REF!</definedName>
    <definedName name="SG_20_03_1" localSheetId="17">#REF!</definedName>
    <definedName name="SG_20_03_1" localSheetId="18">#REF!</definedName>
    <definedName name="SG_20_03_1" localSheetId="20">#REF!</definedName>
    <definedName name="SG_20_03_1" localSheetId="21">#REF!</definedName>
    <definedName name="SG_20_03_1" localSheetId="7">#REF!</definedName>
    <definedName name="SG_20_03_1" localSheetId="3">#REF!</definedName>
    <definedName name="SG_20_03_1" localSheetId="11">#REF!</definedName>
    <definedName name="SG_20_03_1">[5]RESUMO!#REF!</definedName>
    <definedName name="SG_20_04_1" localSheetId="13">#REF!</definedName>
    <definedName name="SG_20_04_1" localSheetId="14">#REF!</definedName>
    <definedName name="SG_20_04_1" localSheetId="15">#REF!</definedName>
    <definedName name="SG_20_04_1" localSheetId="16">#REF!</definedName>
    <definedName name="SG_20_04_1" localSheetId="17">#REF!</definedName>
    <definedName name="SG_20_04_1" localSheetId="18">#REF!</definedName>
    <definedName name="SG_20_04_1" localSheetId="20">#REF!</definedName>
    <definedName name="SG_20_04_1" localSheetId="21">#REF!</definedName>
    <definedName name="SG_20_04_1" localSheetId="7">#REF!</definedName>
    <definedName name="SG_20_04_1" localSheetId="3">#REF!</definedName>
    <definedName name="SG_20_04_1" localSheetId="11">#REF!</definedName>
    <definedName name="SG_20_04_1">[5]RESUMO!#REF!</definedName>
    <definedName name="SG_20_05_1" localSheetId="13">#REF!</definedName>
    <definedName name="SG_20_05_1" localSheetId="14">#REF!</definedName>
    <definedName name="SG_20_05_1" localSheetId="15">#REF!</definedName>
    <definedName name="SG_20_05_1" localSheetId="16">#REF!</definedName>
    <definedName name="SG_20_05_1" localSheetId="17">#REF!</definedName>
    <definedName name="SG_20_05_1" localSheetId="18">#REF!</definedName>
    <definedName name="SG_20_05_1" localSheetId="20">#REF!</definedName>
    <definedName name="SG_20_05_1" localSheetId="21">#REF!</definedName>
    <definedName name="SG_20_05_1" localSheetId="7">#REF!</definedName>
    <definedName name="SG_20_05_1" localSheetId="3">#REF!</definedName>
    <definedName name="SG_20_05_1" localSheetId="11">#REF!</definedName>
    <definedName name="SG_20_05_1">[5]RESUMO!#REF!</definedName>
    <definedName name="SG_20_06_1" localSheetId="13">#REF!</definedName>
    <definedName name="SG_20_06_1" localSheetId="14">#REF!</definedName>
    <definedName name="SG_20_06_1" localSheetId="15">#REF!</definedName>
    <definedName name="SG_20_06_1" localSheetId="16">#REF!</definedName>
    <definedName name="SG_20_06_1" localSheetId="17">#REF!</definedName>
    <definedName name="SG_20_06_1" localSheetId="18">#REF!</definedName>
    <definedName name="SG_20_06_1" localSheetId="20">#REF!</definedName>
    <definedName name="SG_20_06_1" localSheetId="21">#REF!</definedName>
    <definedName name="SG_20_06_1" localSheetId="7">#REF!</definedName>
    <definedName name="SG_20_06_1" localSheetId="3">#REF!</definedName>
    <definedName name="SG_20_06_1" localSheetId="11">#REF!</definedName>
    <definedName name="SG_20_06_1">[5]RESUMO!#REF!</definedName>
    <definedName name="SG_20_07_1" localSheetId="13">#REF!</definedName>
    <definedName name="SG_20_07_1" localSheetId="14">#REF!</definedName>
    <definedName name="SG_20_07_1" localSheetId="15">#REF!</definedName>
    <definedName name="SG_20_07_1" localSheetId="16">#REF!</definedName>
    <definedName name="SG_20_07_1" localSheetId="17">#REF!</definedName>
    <definedName name="SG_20_07_1" localSheetId="18">#REF!</definedName>
    <definedName name="SG_20_07_1" localSheetId="20">#REF!</definedName>
    <definedName name="SG_20_07_1" localSheetId="21">#REF!</definedName>
    <definedName name="SG_20_07_1" localSheetId="7">#REF!</definedName>
    <definedName name="SG_20_07_1" localSheetId="3">#REF!</definedName>
    <definedName name="SG_20_07_1" localSheetId="11">#REF!</definedName>
    <definedName name="SG_20_07_1">[5]RESUMO!#REF!</definedName>
    <definedName name="SG_20_08_1" localSheetId="13">#REF!</definedName>
    <definedName name="SG_20_08_1" localSheetId="14">#REF!</definedName>
    <definedName name="SG_20_08_1" localSheetId="15">#REF!</definedName>
    <definedName name="SG_20_08_1" localSheetId="16">#REF!</definedName>
    <definedName name="SG_20_08_1" localSheetId="17">#REF!</definedName>
    <definedName name="SG_20_08_1" localSheetId="18">#REF!</definedName>
    <definedName name="SG_20_08_1" localSheetId="20">#REF!</definedName>
    <definedName name="SG_20_08_1" localSheetId="21">#REF!</definedName>
    <definedName name="SG_20_08_1" localSheetId="7">#REF!</definedName>
    <definedName name="SG_20_08_1" localSheetId="3">#REF!</definedName>
    <definedName name="SG_20_08_1" localSheetId="11">#REF!</definedName>
    <definedName name="SG_20_08_1">[5]RESUMO!#REF!</definedName>
    <definedName name="SG_20_09_1" localSheetId="13">#REF!</definedName>
    <definedName name="SG_20_09_1" localSheetId="14">#REF!</definedName>
    <definedName name="SG_20_09_1" localSheetId="15">#REF!</definedName>
    <definedName name="SG_20_09_1" localSheetId="16">#REF!</definedName>
    <definedName name="SG_20_09_1" localSheetId="17">#REF!</definedName>
    <definedName name="SG_20_09_1" localSheetId="18">#REF!</definedName>
    <definedName name="SG_20_09_1" localSheetId="20">#REF!</definedName>
    <definedName name="SG_20_09_1" localSheetId="21">#REF!</definedName>
    <definedName name="SG_20_09_1" localSheetId="7">#REF!</definedName>
    <definedName name="SG_20_09_1" localSheetId="3">#REF!</definedName>
    <definedName name="SG_20_09_1" localSheetId="11">#REF!</definedName>
    <definedName name="SG_20_09_1">[5]RESUMO!#REF!</definedName>
    <definedName name="SG_20_10_1" localSheetId="13">#REF!</definedName>
    <definedName name="SG_20_10_1" localSheetId="14">#REF!</definedName>
    <definedName name="SG_20_10_1" localSheetId="15">#REF!</definedName>
    <definedName name="SG_20_10_1" localSheetId="16">#REF!</definedName>
    <definedName name="SG_20_10_1" localSheetId="17">#REF!</definedName>
    <definedName name="SG_20_10_1" localSheetId="18">#REF!</definedName>
    <definedName name="SG_20_10_1" localSheetId="20">#REF!</definedName>
    <definedName name="SG_20_10_1" localSheetId="21">#REF!</definedName>
    <definedName name="SG_20_10_1" localSheetId="7">#REF!</definedName>
    <definedName name="SG_20_10_1" localSheetId="3">#REF!</definedName>
    <definedName name="SG_20_10_1" localSheetId="11">#REF!</definedName>
    <definedName name="SG_20_10_1">[5]RESUMO!#REF!</definedName>
    <definedName name="SG_20_11_1" localSheetId="13">#REF!</definedName>
    <definedName name="SG_20_11_1" localSheetId="14">#REF!</definedName>
    <definedName name="SG_20_11_1" localSheetId="15">#REF!</definedName>
    <definedName name="SG_20_11_1" localSheetId="16">#REF!</definedName>
    <definedName name="SG_20_11_1" localSheetId="17">#REF!</definedName>
    <definedName name="SG_20_11_1" localSheetId="18">#REF!</definedName>
    <definedName name="SG_20_11_1" localSheetId="20">#REF!</definedName>
    <definedName name="SG_20_11_1" localSheetId="21">#REF!</definedName>
    <definedName name="SG_20_11_1" localSheetId="7">#REF!</definedName>
    <definedName name="SG_20_11_1" localSheetId="3">#REF!</definedName>
    <definedName name="SG_20_11_1" localSheetId="11">#REF!</definedName>
    <definedName name="SG_20_11_1">[5]RESUMO!#REF!</definedName>
    <definedName name="SG_20_12_1" localSheetId="13">#REF!</definedName>
    <definedName name="SG_20_12_1" localSheetId="14">#REF!</definedName>
    <definedName name="SG_20_12_1" localSheetId="15">#REF!</definedName>
    <definedName name="SG_20_12_1" localSheetId="16">#REF!</definedName>
    <definedName name="SG_20_12_1" localSheetId="17">#REF!</definedName>
    <definedName name="SG_20_12_1" localSheetId="18">#REF!</definedName>
    <definedName name="SG_20_12_1" localSheetId="20">#REF!</definedName>
    <definedName name="SG_20_12_1" localSheetId="21">#REF!</definedName>
    <definedName name="SG_20_12_1" localSheetId="7">#REF!</definedName>
    <definedName name="SG_20_12_1" localSheetId="3">#REF!</definedName>
    <definedName name="SG_20_12_1" localSheetId="11">#REF!</definedName>
    <definedName name="SG_20_12_1">[5]RESUMO!#REF!</definedName>
    <definedName name="SG_20_13_1" localSheetId="13">#REF!</definedName>
    <definedName name="SG_20_13_1" localSheetId="14">#REF!</definedName>
    <definedName name="SG_20_13_1" localSheetId="15">#REF!</definedName>
    <definedName name="SG_20_13_1" localSheetId="16">#REF!</definedName>
    <definedName name="SG_20_13_1" localSheetId="17">#REF!</definedName>
    <definedName name="SG_20_13_1" localSheetId="18">#REF!</definedName>
    <definedName name="SG_20_13_1" localSheetId="20">#REF!</definedName>
    <definedName name="SG_20_13_1" localSheetId="21">#REF!</definedName>
    <definedName name="SG_20_13_1" localSheetId="7">#REF!</definedName>
    <definedName name="SG_20_13_1" localSheetId="3">#REF!</definedName>
    <definedName name="SG_20_13_1" localSheetId="11">#REF!</definedName>
    <definedName name="SG_20_13_1">[5]RESUMO!#REF!</definedName>
    <definedName name="SG_20_14_1" localSheetId="13">#REF!</definedName>
    <definedName name="SG_20_14_1" localSheetId="14">#REF!</definedName>
    <definedName name="SG_20_14_1" localSheetId="15">#REF!</definedName>
    <definedName name="SG_20_14_1" localSheetId="16">#REF!</definedName>
    <definedName name="SG_20_14_1" localSheetId="17">#REF!</definedName>
    <definedName name="SG_20_14_1" localSheetId="18">#REF!</definedName>
    <definedName name="SG_20_14_1" localSheetId="20">#REF!</definedName>
    <definedName name="SG_20_14_1" localSheetId="21">#REF!</definedName>
    <definedName name="SG_20_14_1" localSheetId="7">#REF!</definedName>
    <definedName name="SG_20_14_1" localSheetId="3">#REF!</definedName>
    <definedName name="SG_20_14_1" localSheetId="11">#REF!</definedName>
    <definedName name="SG_20_14_1">[5]RESUMO!#REF!</definedName>
    <definedName name="SG_20_15_1" localSheetId="13">#REF!</definedName>
    <definedName name="SG_20_15_1" localSheetId="14">#REF!</definedName>
    <definedName name="SG_20_15_1" localSheetId="15">#REF!</definedName>
    <definedName name="SG_20_15_1" localSheetId="16">#REF!</definedName>
    <definedName name="SG_20_15_1" localSheetId="17">#REF!</definedName>
    <definedName name="SG_20_15_1" localSheetId="18">#REF!</definedName>
    <definedName name="SG_20_15_1" localSheetId="20">#REF!</definedName>
    <definedName name="SG_20_15_1" localSheetId="21">#REF!</definedName>
    <definedName name="SG_20_15_1" localSheetId="7">#REF!</definedName>
    <definedName name="SG_20_15_1" localSheetId="3">#REF!</definedName>
    <definedName name="SG_20_15_1" localSheetId="11">#REF!</definedName>
    <definedName name="SG_20_15_1">[5]RESUMO!#REF!</definedName>
    <definedName name="SG_20_16_1" localSheetId="13">#REF!</definedName>
    <definedName name="SG_20_16_1" localSheetId="14">#REF!</definedName>
    <definedName name="SG_20_16_1" localSheetId="15">#REF!</definedName>
    <definedName name="SG_20_16_1" localSheetId="16">#REF!</definedName>
    <definedName name="SG_20_16_1" localSheetId="17">#REF!</definedName>
    <definedName name="SG_20_16_1" localSheetId="18">#REF!</definedName>
    <definedName name="SG_20_16_1" localSheetId="20">#REF!</definedName>
    <definedName name="SG_20_16_1" localSheetId="21">#REF!</definedName>
    <definedName name="SG_20_16_1" localSheetId="7">#REF!</definedName>
    <definedName name="SG_20_16_1" localSheetId="3">#REF!</definedName>
    <definedName name="SG_20_16_1" localSheetId="11">#REF!</definedName>
    <definedName name="SG_20_16_1">[5]RESUMO!#REF!</definedName>
    <definedName name="SG_20_17_1" localSheetId="13">#REF!</definedName>
    <definedName name="SG_20_17_1" localSheetId="14">#REF!</definedName>
    <definedName name="SG_20_17_1" localSheetId="15">#REF!</definedName>
    <definedName name="SG_20_17_1" localSheetId="16">#REF!</definedName>
    <definedName name="SG_20_17_1" localSheetId="17">#REF!</definedName>
    <definedName name="SG_20_17_1" localSheetId="18">#REF!</definedName>
    <definedName name="SG_20_17_1" localSheetId="20">#REF!</definedName>
    <definedName name="SG_20_17_1" localSheetId="21">#REF!</definedName>
    <definedName name="SG_20_17_1" localSheetId="7">#REF!</definedName>
    <definedName name="SG_20_17_1" localSheetId="3">#REF!</definedName>
    <definedName name="SG_20_17_1" localSheetId="11">#REF!</definedName>
    <definedName name="SG_20_17_1">[5]RESUMO!#REF!</definedName>
    <definedName name="SG_20_18_1" localSheetId="13">#REF!</definedName>
    <definedName name="SG_20_18_1" localSheetId="14">#REF!</definedName>
    <definedName name="SG_20_18_1" localSheetId="15">#REF!</definedName>
    <definedName name="SG_20_18_1" localSheetId="16">#REF!</definedName>
    <definedName name="SG_20_18_1" localSheetId="17">#REF!</definedName>
    <definedName name="SG_20_18_1" localSheetId="18">#REF!</definedName>
    <definedName name="SG_20_18_1" localSheetId="20">#REF!</definedName>
    <definedName name="SG_20_18_1" localSheetId="21">#REF!</definedName>
    <definedName name="SG_20_18_1" localSheetId="7">#REF!</definedName>
    <definedName name="SG_20_18_1" localSheetId="3">#REF!</definedName>
    <definedName name="SG_20_18_1" localSheetId="11">#REF!</definedName>
    <definedName name="SG_20_18_1">[5]RESUMO!#REF!</definedName>
    <definedName name="SG_20_19_1" localSheetId="13">#REF!</definedName>
    <definedName name="SG_20_19_1" localSheetId="14">#REF!</definedName>
    <definedName name="SG_20_19_1" localSheetId="15">#REF!</definedName>
    <definedName name="SG_20_19_1" localSheetId="16">#REF!</definedName>
    <definedName name="SG_20_19_1" localSheetId="17">#REF!</definedName>
    <definedName name="SG_20_19_1" localSheetId="18">#REF!</definedName>
    <definedName name="SG_20_19_1" localSheetId="20">#REF!</definedName>
    <definedName name="SG_20_19_1" localSheetId="21">#REF!</definedName>
    <definedName name="SG_20_19_1" localSheetId="7">#REF!</definedName>
    <definedName name="SG_20_19_1" localSheetId="3">#REF!</definedName>
    <definedName name="SG_20_19_1" localSheetId="11">#REF!</definedName>
    <definedName name="SG_20_19_1">[5]RESUMO!#REF!</definedName>
    <definedName name="SG_20_20_1" localSheetId="13">#REF!</definedName>
    <definedName name="SG_20_20_1" localSheetId="14">#REF!</definedName>
    <definedName name="SG_20_20_1" localSheetId="15">#REF!</definedName>
    <definedName name="SG_20_20_1" localSheetId="16">#REF!</definedName>
    <definedName name="SG_20_20_1" localSheetId="17">#REF!</definedName>
    <definedName name="SG_20_20_1" localSheetId="18">#REF!</definedName>
    <definedName name="SG_20_20_1" localSheetId="20">#REF!</definedName>
    <definedName name="SG_20_20_1" localSheetId="21">#REF!</definedName>
    <definedName name="SG_20_20_1" localSheetId="7">#REF!</definedName>
    <definedName name="SG_20_20_1" localSheetId="3">#REF!</definedName>
    <definedName name="SG_20_20_1" localSheetId="11">#REF!</definedName>
    <definedName name="SG_20_20_1">[5]RESUMO!#REF!</definedName>
    <definedName name="SINAPI" localSheetId="13">#REF!</definedName>
    <definedName name="SINAPI" localSheetId="14">#REF!</definedName>
    <definedName name="SINAPI" localSheetId="15">#REF!</definedName>
    <definedName name="SINAPI" localSheetId="16">#REF!</definedName>
    <definedName name="SINAPI" localSheetId="17">#REF!</definedName>
    <definedName name="SINAPI" localSheetId="18">#REF!</definedName>
    <definedName name="SINAPI" localSheetId="20">#REF!</definedName>
    <definedName name="SINAPI" localSheetId="21">#REF!</definedName>
    <definedName name="SINAPI" localSheetId="7">#REF!</definedName>
    <definedName name="SINAPI" localSheetId="3">#REF!</definedName>
    <definedName name="SINAPI" localSheetId="11">#REF!</definedName>
    <definedName name="SINAPI">#REF!</definedName>
    <definedName name="soa">#REF!</definedName>
    <definedName name="soares">#REF!</definedName>
    <definedName name="SomaAgrup" localSheetId="22" hidden="1">SUMIF(OFFSET(#REF!,1,0,#REF!),"S",OFFSET(#REF!,1,0,#REF!))</definedName>
    <definedName name="SomaAgrup" hidden="1">SUMIF(OFFSET(#REF!,1,0,#REF!),"S",OFFSET(#REF!,1,0,#REF!))</definedName>
    <definedName name="sondacil">#REF!</definedName>
    <definedName name="SSD" localSheetId="13">Plan1</definedName>
    <definedName name="SSD" localSheetId="14">Plan1</definedName>
    <definedName name="SSD" localSheetId="15">Plan1</definedName>
    <definedName name="SSD" localSheetId="16">Plan1</definedName>
    <definedName name="SSD" localSheetId="17">Plan1</definedName>
    <definedName name="SSD" localSheetId="18">Plan1</definedName>
    <definedName name="SSD" localSheetId="20">Plan1</definedName>
    <definedName name="SSD" localSheetId="21">Plan1</definedName>
    <definedName name="SSD" localSheetId="22">Plan1</definedName>
    <definedName name="SSD" localSheetId="7">Plan1</definedName>
    <definedName name="SSD" localSheetId="3">Plan1</definedName>
    <definedName name="SSD" localSheetId="11">Plan1</definedName>
    <definedName name="SSD">Plan1</definedName>
    <definedName name="sss">#REF!</definedName>
    <definedName name="step">#REF!</definedName>
    <definedName name="T" localSheetId="13">#REF!</definedName>
    <definedName name="T" localSheetId="14">#REF!</definedName>
    <definedName name="T" localSheetId="15">#REF!</definedName>
    <definedName name="T" localSheetId="16">#REF!</definedName>
    <definedName name="T" localSheetId="17">#REF!</definedName>
    <definedName name="T" localSheetId="18">#REF!</definedName>
    <definedName name="T" localSheetId="20">#REF!</definedName>
    <definedName name="T" localSheetId="21">#REF!</definedName>
    <definedName name="T" localSheetId="22">#REF!</definedName>
    <definedName name="t" localSheetId="7">#REF!</definedName>
    <definedName name="T" localSheetId="3">#REF!</definedName>
    <definedName name="T" localSheetId="11">#REF!</definedName>
    <definedName name="t">'[14]Planilha PROJETISTA'!#REF!</definedName>
    <definedName name="tab" localSheetId="13">#REF!</definedName>
    <definedName name="tab" localSheetId="14">#REF!</definedName>
    <definedName name="tab" localSheetId="15">#REF!</definedName>
    <definedName name="tab" localSheetId="16">#REF!</definedName>
    <definedName name="tab" localSheetId="17">#REF!</definedName>
    <definedName name="tab" localSheetId="18">#REF!</definedName>
    <definedName name="tab" localSheetId="20">#REF!</definedName>
    <definedName name="tab" localSheetId="21">#REF!</definedName>
    <definedName name="tab" localSheetId="7">#REF!</definedName>
    <definedName name="tab" localSheetId="3">#REF!</definedName>
    <definedName name="tab" localSheetId="11">#REF!</definedName>
    <definedName name="tab">#REF!</definedName>
    <definedName name="Tabela" localSheetId="13">#REF!</definedName>
    <definedName name="Tabela" localSheetId="14">#REF!</definedName>
    <definedName name="Tabela" localSheetId="15">#REF!</definedName>
    <definedName name="Tabela" localSheetId="16">#REF!</definedName>
    <definedName name="Tabela" localSheetId="17">#REF!</definedName>
    <definedName name="Tabela" localSheetId="18">#REF!</definedName>
    <definedName name="Tabela" localSheetId="20">#REF!</definedName>
    <definedName name="Tabela" localSheetId="21">#REF!</definedName>
    <definedName name="Tabela" localSheetId="7">#REF!</definedName>
    <definedName name="Tabela" localSheetId="3">#REF!</definedName>
    <definedName name="Tabela" localSheetId="11">#REF!</definedName>
    <definedName name="Tabela">#REF!</definedName>
    <definedName name="Tabela_1" localSheetId="13">#REF!</definedName>
    <definedName name="Tabela_1" localSheetId="14">#REF!</definedName>
    <definedName name="Tabela_1" localSheetId="15">#REF!</definedName>
    <definedName name="Tabela_1" localSheetId="16">#REF!</definedName>
    <definedName name="Tabela_1" localSheetId="17">#REF!</definedName>
    <definedName name="Tabela_1" localSheetId="18">#REF!</definedName>
    <definedName name="Tabela_1" localSheetId="20">#REF!</definedName>
    <definedName name="Tabela_1" localSheetId="21">#REF!</definedName>
    <definedName name="Tabela_1" localSheetId="3">#REF!</definedName>
    <definedName name="Tabela_1" localSheetId="11">#REF!</definedName>
    <definedName name="Tabela_1">#REF!</definedName>
    <definedName name="Tabela_1_6" localSheetId="13">#REF!</definedName>
    <definedName name="Tabela_1_6" localSheetId="14">#REF!</definedName>
    <definedName name="Tabela_1_6" localSheetId="15">#REF!</definedName>
    <definedName name="Tabela_1_6" localSheetId="16">#REF!</definedName>
    <definedName name="Tabela_1_6" localSheetId="17">#REF!</definedName>
    <definedName name="Tabela_1_6" localSheetId="18">#REF!</definedName>
    <definedName name="Tabela_1_6" localSheetId="20">#REF!</definedName>
    <definedName name="Tabela_1_6" localSheetId="21">#REF!</definedName>
    <definedName name="Tabela_1_6" localSheetId="3">#REF!</definedName>
    <definedName name="Tabela_1_6" localSheetId="11">#REF!</definedName>
    <definedName name="Tabela_1_6">#REF!</definedName>
    <definedName name="Tabela_10" localSheetId="13">#REF!</definedName>
    <definedName name="Tabela_10" localSheetId="14">#REF!</definedName>
    <definedName name="Tabela_10" localSheetId="15">#REF!</definedName>
    <definedName name="Tabela_10" localSheetId="16">#REF!</definedName>
    <definedName name="Tabela_10" localSheetId="17">#REF!</definedName>
    <definedName name="Tabela_10" localSheetId="18">#REF!</definedName>
    <definedName name="Tabela_10" localSheetId="20">#REF!</definedName>
    <definedName name="Tabela_10" localSheetId="21">#REF!</definedName>
    <definedName name="Tabela_10" localSheetId="3">#REF!</definedName>
    <definedName name="Tabela_10" localSheetId="11">#REF!</definedName>
    <definedName name="Tabela_10">#REF!</definedName>
    <definedName name="Tabela_2" localSheetId="13">#REF!</definedName>
    <definedName name="Tabela_2" localSheetId="14">#REF!</definedName>
    <definedName name="Tabela_2" localSheetId="15">#REF!</definedName>
    <definedName name="Tabela_2" localSheetId="16">#REF!</definedName>
    <definedName name="Tabela_2" localSheetId="17">#REF!</definedName>
    <definedName name="Tabela_2" localSheetId="18">#REF!</definedName>
    <definedName name="Tabela_2" localSheetId="20">#REF!</definedName>
    <definedName name="Tabela_2" localSheetId="21">#REF!</definedName>
    <definedName name="Tabela_2" localSheetId="3">#REF!</definedName>
    <definedName name="Tabela_2" localSheetId="11">#REF!</definedName>
    <definedName name="Tabela_2">#REF!</definedName>
    <definedName name="Tabela_3" localSheetId="13">#REF!</definedName>
    <definedName name="Tabela_3" localSheetId="14">#REF!</definedName>
    <definedName name="Tabela_3" localSheetId="15">#REF!</definedName>
    <definedName name="Tabela_3" localSheetId="16">#REF!</definedName>
    <definedName name="Tabela_3" localSheetId="17">#REF!</definedName>
    <definedName name="Tabela_3" localSheetId="18">#REF!</definedName>
    <definedName name="Tabela_3" localSheetId="20">#REF!</definedName>
    <definedName name="Tabela_3" localSheetId="21">#REF!</definedName>
    <definedName name="Tabela_3" localSheetId="3">#REF!</definedName>
    <definedName name="Tabela_3" localSheetId="11">#REF!</definedName>
    <definedName name="Tabela_3">#REF!</definedName>
    <definedName name="Tabela_4" localSheetId="13">#REF!</definedName>
    <definedName name="Tabela_4" localSheetId="14">#REF!</definedName>
    <definedName name="Tabela_4" localSheetId="15">#REF!</definedName>
    <definedName name="Tabela_4" localSheetId="16">#REF!</definedName>
    <definedName name="Tabela_4" localSheetId="17">#REF!</definedName>
    <definedName name="Tabela_4" localSheetId="18">#REF!</definedName>
    <definedName name="Tabela_4" localSheetId="20">#REF!</definedName>
    <definedName name="Tabela_4" localSheetId="21">#REF!</definedName>
    <definedName name="Tabela_4" localSheetId="3">#REF!</definedName>
    <definedName name="Tabela_4" localSheetId="11">#REF!</definedName>
    <definedName name="Tabela_4">#REF!</definedName>
    <definedName name="Tabela_5" localSheetId="13">#REF!</definedName>
    <definedName name="Tabela_5" localSheetId="14">#REF!</definedName>
    <definedName name="Tabela_5" localSheetId="15">#REF!</definedName>
    <definedName name="Tabela_5" localSheetId="16">#REF!</definedName>
    <definedName name="Tabela_5" localSheetId="17">#REF!</definedName>
    <definedName name="Tabela_5" localSheetId="18">#REF!</definedName>
    <definedName name="Tabela_5" localSheetId="20">#REF!</definedName>
    <definedName name="Tabela_5" localSheetId="21">#REF!</definedName>
    <definedName name="Tabela_5" localSheetId="3">#REF!</definedName>
    <definedName name="Tabela_5" localSheetId="11">#REF!</definedName>
    <definedName name="Tabela_5">#REF!</definedName>
    <definedName name="Tabela_5_1" localSheetId="13">#REF!</definedName>
    <definedName name="Tabela_5_1" localSheetId="14">#REF!</definedName>
    <definedName name="Tabela_5_1" localSheetId="15">#REF!</definedName>
    <definedName name="Tabela_5_1" localSheetId="16">#REF!</definedName>
    <definedName name="Tabela_5_1" localSheetId="17">#REF!</definedName>
    <definedName name="Tabela_5_1" localSheetId="18">#REF!</definedName>
    <definedName name="Tabela_5_1" localSheetId="20">#REF!</definedName>
    <definedName name="Tabela_5_1" localSheetId="21">#REF!</definedName>
    <definedName name="Tabela_5_1" localSheetId="3">#REF!</definedName>
    <definedName name="Tabela_5_1" localSheetId="11">#REF!</definedName>
    <definedName name="Tabela_5_1">#REF!</definedName>
    <definedName name="Tabela_6" localSheetId="13">#REF!</definedName>
    <definedName name="Tabela_6" localSheetId="14">#REF!</definedName>
    <definedName name="Tabela_6" localSheetId="15">#REF!</definedName>
    <definedName name="Tabela_6" localSheetId="16">#REF!</definedName>
    <definedName name="Tabela_6" localSheetId="17">#REF!</definedName>
    <definedName name="Tabela_6" localSheetId="18">#REF!</definedName>
    <definedName name="Tabela_6" localSheetId="20">#REF!</definedName>
    <definedName name="Tabela_6" localSheetId="21">#REF!</definedName>
    <definedName name="Tabela_6" localSheetId="3">#REF!</definedName>
    <definedName name="Tabela_6" localSheetId="11">#REF!</definedName>
    <definedName name="Tabela_6">#REF!</definedName>
    <definedName name="TABREC">'[15]TABELA RECURSOS'!$A$1:$G$142</definedName>
    <definedName name="TB_Ø">#REF!</definedName>
    <definedName name="TERRAPLANAGEM4" localSheetId="22">#REF!</definedName>
    <definedName name="TERRAPLANAGEM4">#REF!</definedName>
    <definedName name="teste">#REF!</definedName>
    <definedName name="Tipo_de_Salario" localSheetId="22">#REF!</definedName>
    <definedName name="Tipo_de_Salario">#REF!</definedName>
    <definedName name="TIPOORCAMENTO" localSheetId="22" hidden="1">#N/A</definedName>
    <definedName name="TIPOORCAMENTO" hidden="1">IF(VALUE(#REF!)=2,"Licitado","Proposto")</definedName>
    <definedName name="TIT1_2">#REF!</definedName>
    <definedName name="TIT1_3">#REF!</definedName>
    <definedName name="TIT2_2">#REF!</definedName>
    <definedName name="TIT2_3">#REF!</definedName>
    <definedName name="_xlnm.Print_Titles" localSheetId="13">'Composição-'!$1:$7</definedName>
    <definedName name="_xlnm.Print_Titles" localSheetId="14">Composição1a!$2:$6</definedName>
    <definedName name="_xlnm.Print_Titles" localSheetId="15">Composição2!$2:$7</definedName>
    <definedName name="_xlnm.Print_Titles" localSheetId="16">Composição3a!$2:$7</definedName>
    <definedName name="_xlnm.Print_Titles" localSheetId="17">Composição4!$2:$6</definedName>
    <definedName name="_xlnm.Print_Titles" localSheetId="18">Composição5!$3:$6</definedName>
    <definedName name="_xlnm.Print_Titles" localSheetId="19">Composição6!$3:$6</definedName>
    <definedName name="_xlnm.Print_Titles" localSheetId="20">Composição7!$3:$6</definedName>
    <definedName name="_xlnm.Print_Titles" localSheetId="21">Composição8!$3:$6</definedName>
    <definedName name="_xlnm.Print_Titles" localSheetId="26">'CPU - 3'!$1:$12</definedName>
    <definedName name="_xlnm.Print_Titles" localSheetId="22">'CPU''S'!$1:$5</definedName>
    <definedName name="_xlnm.Print_Titles" localSheetId="7">'MC DESM'!$1:$9</definedName>
    <definedName name="_xlnm.Print_Titles" localSheetId="3">'MC TERR'!$1:$10</definedName>
    <definedName name="_xlnm.Print_Titles" localSheetId="1">'MC-DRE'!$1:$9</definedName>
    <definedName name="_xlnm.Print_Titles" localSheetId="4">'MC-PAV'!$1:$16</definedName>
    <definedName name="_xlnm.Print_Titles" localSheetId="6">'MC-PONTE'!$1:$2</definedName>
    <definedName name="_xlnm.Print_Titles" localSheetId="0">'PLANILHA GERAL'!$5:$15</definedName>
    <definedName name="_xlnm.Print_Titles" localSheetId="11">'PREV INUNDAÇÕES'!$2:$9</definedName>
    <definedName name="_xlnm.Print_Titles">#REF!</definedName>
    <definedName name="toatal4">#REF!</definedName>
    <definedName name="TOCANTINÓPOLIS">#REF!</definedName>
    <definedName name="TOT" localSheetId="13">#REF!</definedName>
    <definedName name="TOT" localSheetId="14">#REF!</definedName>
    <definedName name="TOT" localSheetId="15">#REF!</definedName>
    <definedName name="TOT" localSheetId="16">#REF!</definedName>
    <definedName name="TOT" localSheetId="17">#REF!</definedName>
    <definedName name="TOT" localSheetId="18">#REF!</definedName>
    <definedName name="TOT" localSheetId="20">#REF!</definedName>
    <definedName name="TOT" localSheetId="21">#REF!</definedName>
    <definedName name="TOT" localSheetId="7">#REF!</definedName>
    <definedName name="TOT" localSheetId="3">#REF!</definedName>
    <definedName name="TOT" localSheetId="11">#REF!</definedName>
    <definedName name="TOT">'[1]Bm 8'!#REF!</definedName>
    <definedName name="Total" localSheetId="13">#REF!</definedName>
    <definedName name="Total" localSheetId="14">#REF!</definedName>
    <definedName name="Total" localSheetId="15">#REF!</definedName>
    <definedName name="Total" localSheetId="16">#REF!</definedName>
    <definedName name="Total" localSheetId="17">#REF!</definedName>
    <definedName name="Total" localSheetId="18">#REF!</definedName>
    <definedName name="Total" localSheetId="20">#REF!</definedName>
    <definedName name="Total" localSheetId="21">#REF!</definedName>
    <definedName name="total" localSheetId="7">#REF!</definedName>
    <definedName name="Total" localSheetId="3">#REF!</definedName>
    <definedName name="Total" localSheetId="11">#REF!</definedName>
    <definedName name="total">#REF!</definedName>
    <definedName name="TOTAL_GERAL_1" localSheetId="13">#REF!</definedName>
    <definedName name="TOTAL_GERAL_1" localSheetId="14">#REF!</definedName>
    <definedName name="TOTAL_GERAL_1" localSheetId="15">#REF!</definedName>
    <definedName name="TOTAL_GERAL_1" localSheetId="16">#REF!</definedName>
    <definedName name="TOTAL_GERAL_1" localSheetId="17">#REF!</definedName>
    <definedName name="TOTAL_GERAL_1" localSheetId="18">#REF!</definedName>
    <definedName name="TOTAL_GERAL_1" localSheetId="20">#REF!</definedName>
    <definedName name="TOTAL_GERAL_1" localSheetId="21">#REF!</definedName>
    <definedName name="TOTAL_GERAL_1" localSheetId="7">#REF!</definedName>
    <definedName name="TOTAL_GERAL_1" localSheetId="3">#REF!</definedName>
    <definedName name="TOTAL_GERAL_1" localSheetId="11">#REF!</definedName>
    <definedName name="TOTAL_GERAL_1">[5]RESUMO!#REF!</definedName>
    <definedName name="TOTAL_RESUMO" localSheetId="13">#REF!</definedName>
    <definedName name="TOTAL_RESUMO" localSheetId="14">#REF!</definedName>
    <definedName name="TOTAL_RESUMO" localSheetId="15">#REF!</definedName>
    <definedName name="TOTAL_RESUMO" localSheetId="16">#REF!</definedName>
    <definedName name="TOTAL_RESUMO" localSheetId="17">#REF!</definedName>
    <definedName name="TOTAL_RESUMO" localSheetId="18">#REF!</definedName>
    <definedName name="TOTAL_RESUMO" localSheetId="20">#REF!</definedName>
    <definedName name="TOTAL_RESUMO" localSheetId="21">#REF!</definedName>
    <definedName name="TOTAL_RESUMO" localSheetId="7">#REF!</definedName>
    <definedName name="TOTAL_RESUMO" localSheetId="3">#REF!</definedName>
    <definedName name="TOTAL_RESUMO" localSheetId="11">#REF!</definedName>
    <definedName name="TOTAL_RESUMO">#REF!</definedName>
    <definedName name="total2">#REF!</definedName>
    <definedName name="total3">#REF!</definedName>
    <definedName name="total4">#REF!</definedName>
    <definedName name="TR">#REF!</definedName>
    <definedName name="TSYEJMSNH">#REF!</definedName>
    <definedName name="TTT">#REF!</definedName>
    <definedName name="TxCresc">'[10]TodasTraf-2000-NoPrint'!$C$7:$L$17</definedName>
    <definedName name="tyuu" hidden="1">#REF!</definedName>
    <definedName name="ui">#REF!</definedName>
    <definedName name="Unit." localSheetId="13">#REF!</definedName>
    <definedName name="Unit." localSheetId="14">#REF!</definedName>
    <definedName name="Unit." localSheetId="15">#REF!</definedName>
    <definedName name="Unit." localSheetId="16">#REF!</definedName>
    <definedName name="Unit." localSheetId="17">#REF!</definedName>
    <definedName name="Unit." localSheetId="18">#REF!</definedName>
    <definedName name="Unit." localSheetId="20">#REF!</definedName>
    <definedName name="Unit." localSheetId="21">#REF!</definedName>
    <definedName name="Unit." localSheetId="3">#REF!</definedName>
    <definedName name="Unit." localSheetId="11">#REF!</definedName>
    <definedName name="Unit.">#REF!</definedName>
    <definedName name="uuuuuuuuuuuuu" localSheetId="13">#REF!</definedName>
    <definedName name="uuuuuuuuuuuuu" localSheetId="14">#REF!</definedName>
    <definedName name="uuuuuuuuuuuuu" localSheetId="15">#REF!</definedName>
    <definedName name="uuuuuuuuuuuuu" localSheetId="16">#REF!</definedName>
    <definedName name="uuuuuuuuuuuuu" localSheetId="17">#REF!</definedName>
    <definedName name="uuuuuuuuuuuuu" localSheetId="18">#REF!</definedName>
    <definedName name="uuuuuuuuuuuuu" localSheetId="20">#REF!</definedName>
    <definedName name="uuuuuuuuuuuuu" localSheetId="21">#REF!</definedName>
    <definedName name="uuuuuuuuuuuuu" localSheetId="7">#REF!</definedName>
    <definedName name="uuuuuuuuuuuuu" localSheetId="3">#REF!</definedName>
    <definedName name="uuuuuuuuuuuuu" localSheetId="11">#REF!</definedName>
    <definedName name="uuuuuuuuuuuuu">#REF!</definedName>
    <definedName name="v" localSheetId="13">#REF!</definedName>
    <definedName name="v" localSheetId="14">#REF!</definedName>
    <definedName name="v" localSheetId="15">#REF!</definedName>
    <definedName name="v" localSheetId="16">#REF!</definedName>
    <definedName name="v" localSheetId="17">#REF!</definedName>
    <definedName name="v" localSheetId="18">#REF!</definedName>
    <definedName name="v" localSheetId="20">#REF!</definedName>
    <definedName name="v" localSheetId="21">#REF!</definedName>
    <definedName name="v" localSheetId="7">#REF!</definedName>
    <definedName name="v" localSheetId="3">#REF!</definedName>
    <definedName name="v" localSheetId="11">#REF!</definedName>
    <definedName name="v">#REF!</definedName>
    <definedName name="Valores" localSheetId="13">#REF!</definedName>
    <definedName name="Valores" localSheetId="14">#REF!</definedName>
    <definedName name="Valores" localSheetId="15">#REF!</definedName>
    <definedName name="Valores" localSheetId="16">#REF!</definedName>
    <definedName name="Valores" localSheetId="17">#REF!</definedName>
    <definedName name="Valores" localSheetId="18">#REF!</definedName>
    <definedName name="Valores" localSheetId="20">#REF!</definedName>
    <definedName name="Valores" localSheetId="21">#REF!</definedName>
    <definedName name="Valores" localSheetId="7">#REF!</definedName>
    <definedName name="Valores" localSheetId="3">#REF!</definedName>
    <definedName name="Valores" localSheetId="11">#REF!</definedName>
    <definedName name="Valores">#REF!</definedName>
    <definedName name="VALORES_VALORES_Listar" localSheetId="13">#REF!</definedName>
    <definedName name="VALORES_VALORES_Listar" localSheetId="14">#REF!</definedName>
    <definedName name="VALORES_VALORES_Listar" localSheetId="15">#REF!</definedName>
    <definedName name="VALORES_VALORES_Listar" localSheetId="16">#REF!</definedName>
    <definedName name="VALORES_VALORES_Listar" localSheetId="17">#REF!</definedName>
    <definedName name="VALORES_VALORES_Listar" localSheetId="18">#REF!</definedName>
    <definedName name="VALORES_VALORES_Listar" localSheetId="20">#REF!</definedName>
    <definedName name="VALORES_VALORES_Listar" localSheetId="21">#REF!</definedName>
    <definedName name="VALORES_VALORES_Listar" localSheetId="7">#REF!</definedName>
    <definedName name="VALORES_VALORES_Listar" localSheetId="3">#REF!</definedName>
    <definedName name="VALORES_VALORES_Listar" localSheetId="11">#REF!</definedName>
    <definedName name="VALORES_VALORES_Listar">#REF!</definedName>
    <definedName name="vcasd" hidden="1">{#N/A,#N/A,FALSE,"Plan1"}</definedName>
    <definedName name="Veic">#REF!</definedName>
    <definedName name="VIGASBALDRAMES">#REF!</definedName>
    <definedName name="Volume" localSheetId="13">#REF!</definedName>
    <definedName name="Volume" localSheetId="14">#REF!</definedName>
    <definedName name="Volume" localSheetId="15">#REF!</definedName>
    <definedName name="Volume" localSheetId="16">#REF!</definedName>
    <definedName name="Volume" localSheetId="17">#REF!</definedName>
    <definedName name="Volume" localSheetId="18">#REF!</definedName>
    <definedName name="Volume" localSheetId="20">#REF!</definedName>
    <definedName name="Volume" localSheetId="21">#REF!</definedName>
    <definedName name="Volume" localSheetId="22">#REF!</definedName>
    <definedName name="Volume" localSheetId="7">#REF!</definedName>
    <definedName name="Volume" localSheetId="3">#REF!</definedName>
    <definedName name="Volume" localSheetId="11">#REF!</definedName>
    <definedName name="Volume">#REF!</definedName>
    <definedName name="VTOTAL1" localSheetId="22" hidden="1">ROUND(#REF!*#REF!,15-13*#REF!)</definedName>
    <definedName name="VTOTAL1" hidden="1">ROUND(#REF!*#REF!,15-13*#REF!)</definedName>
    <definedName name="w" localSheetId="13">#REF!</definedName>
    <definedName name="w" localSheetId="14">#REF!</definedName>
    <definedName name="w" localSheetId="15">#REF!</definedName>
    <definedName name="w" localSheetId="16">#REF!</definedName>
    <definedName name="w" localSheetId="17">#REF!</definedName>
    <definedName name="w" localSheetId="18">#REF!</definedName>
    <definedName name="w" localSheetId="20">#REF!</definedName>
    <definedName name="w" localSheetId="21">#REF!</definedName>
    <definedName name="w" localSheetId="7">#REF!</definedName>
    <definedName name="w" localSheetId="3">#REF!</definedName>
    <definedName name="w" localSheetId="11">#REF!</definedName>
    <definedName name="w">#REF!</definedName>
    <definedName name="Wal">#REF!</definedName>
    <definedName name="walt4">#REF!</definedName>
    <definedName name="wrn.mo2." localSheetId="22" hidden="1">{#N/A,#N/A,FALSE,"MO (2)"}</definedName>
    <definedName name="wrn.mo2." localSheetId="7" hidden="1">{#N/A,#N/A,FALSE,"MO (2)"}</definedName>
    <definedName name="wrn.mo2." hidden="1">{#N/A,#N/A,FALSE,"MO (2)"}</definedName>
    <definedName name="wrn.Orçamento." localSheetId="22" hidden="1">{#N/A,#N/A,FALSE,"Planilha";#N/A,#N/A,FALSE,"Resumo";#N/A,#N/A,FALSE,"Fisico";#N/A,#N/A,FALSE,"Financeiro";#N/A,#N/A,FALSE,"Financeiro"}</definedName>
    <definedName name="wrn.Orçamento." localSheetId="7" hidden="1">{#N/A,#N/A,FALSE,"Planilha";#N/A,#N/A,FALSE,"Resumo";#N/A,#N/A,FALSE,"Fisico";#N/A,#N/A,FALSE,"Financeiro";#N/A,#N/A,FALSE,"Financeiro"}</definedName>
    <definedName name="wrn.Orçamento." hidden="1">{#N/A,#N/A,FALSE,"Planilha";#N/A,#N/A,FALSE,"Resumo";#N/A,#N/A,FALSE,"Fisico";#N/A,#N/A,FALSE,"Financeiro";#N/A,#N/A,FALSE,"Financeiro"}</definedName>
    <definedName name="wrn.SBBE." localSheetId="22" hidden="1">{#N/A,#N/A,FALSE,"Plan1"}</definedName>
    <definedName name="wrn.SBBE." localSheetId="7" hidden="1">{#N/A,#N/A,FALSE,"Plan1"}</definedName>
    <definedName name="wrn.SBBE." hidden="1">{#N/A,#N/A,FALSE,"Plan1"}</definedName>
    <definedName name="xcvxf">#REF!</definedName>
    <definedName name="XSX" localSheetId="22">#REF!</definedName>
    <definedName name="XSX">#REF!</definedName>
    <definedName name="XTUBO" localSheetId="13">#REF!</definedName>
    <definedName name="XTUBO" localSheetId="14">#REF!</definedName>
    <definedName name="XTUBO" localSheetId="15">#REF!</definedName>
    <definedName name="XTUBO" localSheetId="16">#REF!</definedName>
    <definedName name="XTUBO" localSheetId="17">#REF!</definedName>
    <definedName name="XTUBO" localSheetId="18">#REF!</definedName>
    <definedName name="XTUBO" localSheetId="20">#REF!</definedName>
    <definedName name="XTUBO" localSheetId="21">#REF!</definedName>
    <definedName name="XTUBO" localSheetId="7">#REF!</definedName>
    <definedName name="XTUBO" localSheetId="3">#REF!</definedName>
    <definedName name="XTUBO" localSheetId="11">#REF!</definedName>
    <definedName name="XTUBO">#REF!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65" l="1"/>
  <c r="D47" i="26"/>
  <c r="C9" i="46"/>
  <c r="K163" i="39"/>
  <c r="K163" i="16"/>
  <c r="G163" i="39"/>
  <c r="G163" i="16"/>
  <c r="E37" i="71"/>
  <c r="I222" i="16"/>
  <c r="A10" i="48" l="1"/>
  <c r="F10" i="16"/>
  <c r="B7" i="53"/>
  <c r="H46" i="58"/>
  <c r="AA41" i="26" l="1"/>
  <c r="Y41" i="26"/>
  <c r="Q41" i="26"/>
  <c r="S41" i="26" s="1"/>
  <c r="U41" i="26" s="1"/>
  <c r="W41" i="26" s="1"/>
  <c r="O41" i="26"/>
  <c r="M41" i="26"/>
  <c r="K41" i="26"/>
  <c r="I41" i="26"/>
  <c r="G41" i="26"/>
  <c r="E41" i="26"/>
  <c r="AC66" i="26"/>
  <c r="AC64" i="26"/>
  <c r="AC63" i="26"/>
  <c r="AC62" i="26"/>
  <c r="AC61" i="26"/>
  <c r="AC60" i="26"/>
  <c r="AC59" i="26"/>
  <c r="AC58" i="26"/>
  <c r="AC57" i="26"/>
  <c r="AC56" i="26"/>
  <c r="AC55" i="26"/>
  <c r="AC54" i="26"/>
  <c r="AC53" i="26"/>
  <c r="AC52" i="26"/>
  <c r="AC51" i="26"/>
  <c r="AE50" i="26"/>
  <c r="AC50" i="26"/>
  <c r="AC49" i="26"/>
  <c r="AC48" i="26"/>
  <c r="AC47" i="26"/>
  <c r="AC46" i="26"/>
  <c r="AC45" i="26"/>
  <c r="AC44" i="26"/>
  <c r="AC43" i="26"/>
  <c r="B34" i="26"/>
  <c r="B61" i="26" s="1"/>
  <c r="A34" i="26"/>
  <c r="A61" i="26" s="1"/>
  <c r="AC35" i="26"/>
  <c r="AC34" i="26"/>
  <c r="S18" i="39"/>
  <c r="S52" i="39"/>
  <c r="S51" i="39"/>
  <c r="S50" i="39"/>
  <c r="S49" i="39"/>
  <c r="S48" i="39"/>
  <c r="S47" i="39"/>
  <c r="S46" i="39"/>
  <c r="S45" i="39"/>
  <c r="S44" i="39"/>
  <c r="S43" i="39"/>
  <c r="S42" i="39"/>
  <c r="S41" i="39"/>
  <c r="S40" i="39"/>
  <c r="S39" i="39"/>
  <c r="S38" i="39"/>
  <c r="S37" i="39"/>
  <c r="S36" i="39"/>
  <c r="S35" i="39"/>
  <c r="S34" i="39"/>
  <c r="S33" i="39"/>
  <c r="S32" i="39"/>
  <c r="S31" i="39"/>
  <c r="S30" i="39"/>
  <c r="S29" i="39"/>
  <c r="S28" i="39"/>
  <c r="S27" i="39"/>
  <c r="S26" i="39"/>
  <c r="S25" i="39"/>
  <c r="S24" i="39"/>
  <c r="S23" i="39"/>
  <c r="J149" i="16"/>
  <c r="L149" i="16"/>
  <c r="L133" i="16"/>
  <c r="G133" i="16"/>
  <c r="T20" i="46"/>
  <c r="S20" i="46"/>
  <c r="R20" i="46"/>
  <c r="Q20" i="46"/>
  <c r="P20" i="46"/>
  <c r="Q60" i="46"/>
  <c r="J133" i="16"/>
  <c r="G237" i="16"/>
  <c r="G222" i="16"/>
  <c r="G221" i="16"/>
  <c r="G225" i="16"/>
  <c r="G224" i="16"/>
  <c r="G238" i="16"/>
  <c r="G247" i="16"/>
  <c r="G246" i="16"/>
  <c r="G245" i="16"/>
  <c r="G258" i="16"/>
  <c r="G257" i="16"/>
  <c r="G256" i="16"/>
  <c r="G255" i="16"/>
  <c r="G254" i="16"/>
  <c r="G253" i="16"/>
  <c r="G252" i="16"/>
  <c r="G251" i="16"/>
  <c r="G250" i="16"/>
  <c r="G249" i="16"/>
  <c r="G266" i="16"/>
  <c r="G265" i="16"/>
  <c r="G264" i="16"/>
  <c r="G263" i="16"/>
  <c r="G262" i="16"/>
  <c r="G261" i="16"/>
  <c r="G260" i="16"/>
  <c r="G274" i="16"/>
  <c r="G273" i="16"/>
  <c r="G272" i="16"/>
  <c r="G271" i="16"/>
  <c r="G270" i="16"/>
  <c r="G269" i="16"/>
  <c r="G268" i="16"/>
  <c r="G275" i="16"/>
  <c r="G277" i="16"/>
  <c r="J277" i="16"/>
  <c r="J275" i="16"/>
  <c r="J274" i="16"/>
  <c r="J273" i="16"/>
  <c r="J272" i="16"/>
  <c r="J271" i="16"/>
  <c r="J270" i="16"/>
  <c r="J269" i="16"/>
  <c r="J268" i="16"/>
  <c r="J266" i="16"/>
  <c r="J265" i="16"/>
  <c r="J264" i="16"/>
  <c r="J263" i="16"/>
  <c r="J262" i="16"/>
  <c r="K262" i="16" s="1"/>
  <c r="J261" i="16"/>
  <c r="J260" i="16"/>
  <c r="K260" i="16" s="1"/>
  <c r="J258" i="16"/>
  <c r="J257" i="16"/>
  <c r="J256" i="16"/>
  <c r="J255" i="16"/>
  <c r="K255" i="16" s="1"/>
  <c r="J254" i="16"/>
  <c r="J253" i="16"/>
  <c r="J252" i="16"/>
  <c r="J251" i="16"/>
  <c r="K251" i="16" s="1"/>
  <c r="J250" i="16"/>
  <c r="J249" i="16"/>
  <c r="J247" i="16"/>
  <c r="J245" i="16"/>
  <c r="J243" i="16"/>
  <c r="J242" i="16"/>
  <c r="J240" i="16"/>
  <c r="J239" i="16"/>
  <c r="J238" i="16"/>
  <c r="J237" i="16"/>
  <c r="J225" i="16"/>
  <c r="J224" i="16"/>
  <c r="J222" i="16"/>
  <c r="J221" i="16"/>
  <c r="G65" i="63"/>
  <c r="G192" i="16"/>
  <c r="J206" i="16"/>
  <c r="J204" i="16"/>
  <c r="J203" i="16"/>
  <c r="J202" i="16"/>
  <c r="J200" i="16"/>
  <c r="J199" i="16"/>
  <c r="J198" i="16"/>
  <c r="J196" i="16"/>
  <c r="J195" i="16"/>
  <c r="J194" i="16"/>
  <c r="J192" i="16"/>
  <c r="J191" i="16"/>
  <c r="J189" i="16"/>
  <c r="J188" i="16"/>
  <c r="J187" i="16"/>
  <c r="J185" i="16"/>
  <c r="J184" i="16"/>
  <c r="J183" i="16"/>
  <c r="J182" i="16"/>
  <c r="J181" i="16"/>
  <c r="J179" i="16"/>
  <c r="J178" i="16"/>
  <c r="J177" i="16"/>
  <c r="J173" i="16"/>
  <c r="J172" i="16"/>
  <c r="J171" i="16"/>
  <c r="J169" i="16"/>
  <c r="J168" i="16"/>
  <c r="J167" i="16"/>
  <c r="K249" i="16" l="1"/>
  <c r="K250" i="16"/>
  <c r="K277" i="16"/>
  <c r="K133" i="16"/>
  <c r="K256" i="16"/>
  <c r="S56" i="39"/>
  <c r="G149" i="16" s="1"/>
  <c r="K149" i="16" s="1"/>
  <c r="K224" i="16"/>
  <c r="K225" i="16"/>
  <c r="K261" i="16"/>
  <c r="K221" i="16"/>
  <c r="K263" i="16"/>
  <c r="K265" i="16"/>
  <c r="K266" i="16"/>
  <c r="K264" i="16"/>
  <c r="K269" i="16"/>
  <c r="K245" i="16"/>
  <c r="K272" i="16"/>
  <c r="K273" i="16"/>
  <c r="K270" i="16"/>
  <c r="K271" i="16"/>
  <c r="K252" i="16"/>
  <c r="K274" i="16"/>
  <c r="K253" i="16"/>
  <c r="K275" i="16"/>
  <c r="K268" i="16"/>
  <c r="K254" i="16"/>
  <c r="K237" i="16"/>
  <c r="K222" i="16"/>
  <c r="K238" i="16"/>
  <c r="K247" i="16"/>
  <c r="K258" i="16"/>
  <c r="K257" i="16"/>
  <c r="K192" i="16"/>
  <c r="A2" i="65"/>
  <c r="AH44" i="65"/>
  <c r="AH43" i="65"/>
  <c r="AH42" i="65"/>
  <c r="AH41" i="65"/>
  <c r="AH45" i="65" s="1"/>
  <c r="AH22" i="65"/>
  <c r="AH23" i="65"/>
  <c r="AH24" i="65"/>
  <c r="AH25" i="65"/>
  <c r="AH26" i="65"/>
  <c r="AH27" i="65"/>
  <c r="AH28" i="65"/>
  <c r="AH14" i="65"/>
  <c r="AH15" i="65"/>
  <c r="AH16" i="65"/>
  <c r="AH17" i="65"/>
  <c r="AH18" i="65"/>
  <c r="AH19" i="65"/>
  <c r="AH20" i="65"/>
  <c r="AH21" i="65"/>
  <c r="AH13" i="65"/>
  <c r="AH29" i="65"/>
  <c r="AH30" i="65"/>
  <c r="AH31" i="65"/>
  <c r="AH32" i="65"/>
  <c r="AH33" i="65"/>
  <c r="AH34" i="65"/>
  <c r="AH35" i="65"/>
  <c r="AH36" i="65"/>
  <c r="AH37" i="65"/>
  <c r="AH38" i="65"/>
  <c r="AH39" i="65"/>
  <c r="G213" i="16"/>
  <c r="G214" i="16"/>
  <c r="F15" i="54"/>
  <c r="F14" i="54"/>
  <c r="F22" i="52"/>
  <c r="F21" i="52"/>
  <c r="F20" i="52"/>
  <c r="F19" i="52"/>
  <c r="F18" i="52"/>
  <c r="F17" i="52"/>
  <c r="E27" i="72"/>
  <c r="E22" i="77"/>
  <c r="E21" i="70" s="1"/>
  <c r="E21" i="77"/>
  <c r="E60" i="63"/>
  <c r="E45" i="63"/>
  <c r="E44" i="63"/>
  <c r="E37" i="63"/>
  <c r="F27" i="56"/>
  <c r="I125" i="16"/>
  <c r="E22" i="76" l="1"/>
  <c r="AH40" i="65"/>
  <c r="AH46" i="65" s="1"/>
  <c r="F39" i="58"/>
  <c r="F38" i="58"/>
  <c r="F37" i="58"/>
  <c r="F36" i="58"/>
  <c r="F35" i="58"/>
  <c r="F34" i="58"/>
  <c r="F33" i="58"/>
  <c r="F32" i="58"/>
  <c r="F31" i="58"/>
  <c r="F30" i="58"/>
  <c r="F29" i="58"/>
  <c r="G29" i="58"/>
  <c r="G41" i="58" s="1"/>
  <c r="E32" i="49" l="1"/>
  <c r="G32" i="49" s="1"/>
  <c r="E31" i="49"/>
  <c r="F28" i="56"/>
  <c r="F35" i="56"/>
  <c r="F39" i="56" s="1"/>
  <c r="F43" i="56" s="1"/>
  <c r="I34" i="69" l="1"/>
  <c r="I35" i="69"/>
  <c r="I36" i="69"/>
  <c r="G10" i="66" l="1"/>
  <c r="D10" i="66"/>
  <c r="G54" i="63"/>
  <c r="G53" i="63"/>
  <c r="AF46" i="65" l="1"/>
  <c r="AG46" i="65"/>
  <c r="AD46" i="65"/>
  <c r="AE46" i="65"/>
  <c r="G52" i="63"/>
  <c r="G51" i="63"/>
  <c r="G50" i="63"/>
  <c r="G58" i="63"/>
  <c r="G63" i="63"/>
  <c r="AC46" i="65"/>
  <c r="AC13" i="65"/>
  <c r="AC14" i="65"/>
  <c r="AC15" i="65"/>
  <c r="AC16" i="65"/>
  <c r="AC17" i="65"/>
  <c r="AC18" i="65"/>
  <c r="AC19" i="65"/>
  <c r="AC20" i="65"/>
  <c r="AC21" i="65"/>
  <c r="AC22" i="65"/>
  <c r="AC23" i="65"/>
  <c r="AC24" i="65"/>
  <c r="AC25" i="65"/>
  <c r="AC26" i="65"/>
  <c r="AC27" i="65"/>
  <c r="AC28" i="65"/>
  <c r="Y45" i="65"/>
  <c r="Z45" i="65"/>
  <c r="W46" i="65"/>
  <c r="V46" i="65"/>
  <c r="U46" i="65"/>
  <c r="T46" i="65"/>
  <c r="S46" i="65"/>
  <c r="R46" i="65"/>
  <c r="Q46" i="65"/>
  <c r="P46" i="65"/>
  <c r="O46" i="65"/>
  <c r="N46" i="65"/>
  <c r="F46" i="65"/>
  <c r="G55" i="63"/>
  <c r="E41" i="65"/>
  <c r="Y44" i="65"/>
  <c r="Z44" i="65" s="1"/>
  <c r="Y43" i="65"/>
  <c r="Z43" i="65" s="1"/>
  <c r="Y42" i="65"/>
  <c r="Z42" i="65" s="1"/>
  <c r="H42" i="65"/>
  <c r="H43" i="65" s="1"/>
  <c r="H44" i="65" s="1"/>
  <c r="E42" i="65"/>
  <c r="C42" i="65" s="1"/>
  <c r="E43" i="65" s="1"/>
  <c r="C43" i="65" s="1"/>
  <c r="E44" i="65" s="1"/>
  <c r="C44" i="65" s="1"/>
  <c r="D42" i="65"/>
  <c r="B42" i="65" s="1"/>
  <c r="D43" i="65" s="1"/>
  <c r="B43" i="65" s="1"/>
  <c r="D44" i="65" s="1"/>
  <c r="Y41" i="65"/>
  <c r="Z41" i="65" s="1"/>
  <c r="K42" i="65"/>
  <c r="K43" i="65" s="1"/>
  <c r="K44" i="65" s="1"/>
  <c r="I42" i="65"/>
  <c r="I43" i="65" s="1"/>
  <c r="I44" i="65" s="1"/>
  <c r="G42" i="65"/>
  <c r="G43" i="65" s="1"/>
  <c r="G44" i="65" s="1"/>
  <c r="D15" i="78"/>
  <c r="F15" i="78" s="1"/>
  <c r="D14" i="78"/>
  <c r="F14" i="78" s="1"/>
  <c r="D28" i="78"/>
  <c r="D27" i="78"/>
  <c r="F27" i="78" s="1"/>
  <c r="D22" i="78"/>
  <c r="F22" i="78" s="1"/>
  <c r="D21" i="78"/>
  <c r="F21" i="78" s="1"/>
  <c r="Z36" i="65"/>
  <c r="Z37" i="65"/>
  <c r="Z38" i="65"/>
  <c r="Z39" i="65"/>
  <c r="Y13" i="65"/>
  <c r="Z13" i="65" s="1"/>
  <c r="F34" i="78"/>
  <c r="F33" i="78"/>
  <c r="F30" i="78"/>
  <c r="F29" i="78"/>
  <c r="F28" i="78"/>
  <c r="F17" i="78"/>
  <c r="F16" i="78"/>
  <c r="F13" i="78"/>
  <c r="D17" i="77"/>
  <c r="F17" i="77" s="1"/>
  <c r="D28" i="77"/>
  <c r="F28" i="77" s="1"/>
  <c r="D27" i="77"/>
  <c r="F27" i="77" s="1"/>
  <c r="D22" i="77"/>
  <c r="F22" i="77" s="1"/>
  <c r="D21" i="77"/>
  <c r="F21" i="77" s="1"/>
  <c r="D15" i="77"/>
  <c r="F15" i="77" s="1"/>
  <c r="F16" i="77"/>
  <c r="F34" i="77"/>
  <c r="F33" i="77"/>
  <c r="F30" i="77"/>
  <c r="F29" i="77"/>
  <c r="F14" i="77"/>
  <c r="F13" i="77"/>
  <c r="F31" i="78" l="1"/>
  <c r="F36" i="78"/>
  <c r="F36" i="77"/>
  <c r="F42" i="65"/>
  <c r="AA42" i="65" s="1"/>
  <c r="F41" i="65"/>
  <c r="F43" i="65"/>
  <c r="AA43" i="65" s="1"/>
  <c r="F44" i="65"/>
  <c r="AA44" i="65" s="1"/>
  <c r="F25" i="78"/>
  <c r="F19" i="78"/>
  <c r="F25" i="77"/>
  <c r="F31" i="77"/>
  <c r="F19" i="77"/>
  <c r="AB44" i="65" l="1"/>
  <c r="AC44" i="65"/>
  <c r="AB42" i="65"/>
  <c r="AB43" i="65"/>
  <c r="AC42" i="65"/>
  <c r="AC43" i="65"/>
  <c r="AC41" i="65"/>
  <c r="AB41" i="65"/>
  <c r="AA41" i="65"/>
  <c r="W43" i="65"/>
  <c r="O43" i="65"/>
  <c r="Q43" i="65"/>
  <c r="O42" i="65"/>
  <c r="W42" i="65"/>
  <c r="Q42" i="65"/>
  <c r="Q41" i="65"/>
  <c r="W41" i="65"/>
  <c r="O41" i="65"/>
  <c r="F45" i="65"/>
  <c r="O44" i="65"/>
  <c r="Q44" i="65"/>
  <c r="W44" i="65"/>
  <c r="F37" i="78"/>
  <c r="F37" i="77"/>
  <c r="F38" i="78" l="1"/>
  <c r="F39" i="78" s="1"/>
  <c r="E56" i="63"/>
  <c r="S42" i="65"/>
  <c r="R42" i="65"/>
  <c r="AD43" i="65"/>
  <c r="AE43" i="65"/>
  <c r="R41" i="65"/>
  <c r="S41" i="65"/>
  <c r="W45" i="65"/>
  <c r="AA45" i="65"/>
  <c r="AE42" i="65"/>
  <c r="AD42" i="65"/>
  <c r="AD41" i="65"/>
  <c r="AE41" i="65"/>
  <c r="AE44" i="65"/>
  <c r="AD44" i="65"/>
  <c r="S44" i="65"/>
  <c r="R44" i="65"/>
  <c r="R43" i="65"/>
  <c r="S43" i="65"/>
  <c r="G37" i="78"/>
  <c r="F38" i="77"/>
  <c r="F39" i="77" s="1"/>
  <c r="E55" i="63"/>
  <c r="G37" i="77"/>
  <c r="AG44" i="65" l="1"/>
  <c r="AF44" i="65"/>
  <c r="AG41" i="65"/>
  <c r="AF41" i="65"/>
  <c r="AG43" i="65"/>
  <c r="AF43" i="65"/>
  <c r="AG42" i="65"/>
  <c r="AF42" i="65"/>
  <c r="O45" i="65" l="1"/>
  <c r="Q45" i="65" l="1"/>
  <c r="AB45" i="65" l="1"/>
  <c r="G56" i="63" s="1"/>
  <c r="AC45" i="65"/>
  <c r="S45" i="65"/>
  <c r="R45" i="65"/>
  <c r="AD45" i="65"/>
  <c r="AE45" i="65"/>
  <c r="AG45" i="65" l="1"/>
  <c r="AF45" i="65"/>
  <c r="C20" i="46" l="1"/>
  <c r="C18" i="39"/>
  <c r="L13" i="65"/>
  <c r="Y21" i="65"/>
  <c r="Z21" i="65" s="1"/>
  <c r="Y22" i="65"/>
  <c r="Z22" i="65" s="1"/>
  <c r="Y23" i="65"/>
  <c r="Z23" i="65" s="1"/>
  <c r="Y24" i="65"/>
  <c r="Z24" i="65" s="1"/>
  <c r="Y25" i="65"/>
  <c r="Z25" i="65" s="1"/>
  <c r="Y26" i="65"/>
  <c r="Z26" i="65" s="1"/>
  <c r="Y27" i="65"/>
  <c r="Z27" i="65" s="1"/>
  <c r="Y28" i="65"/>
  <c r="Z28" i="65" s="1"/>
  <c r="Y29" i="65"/>
  <c r="Z29" i="65" s="1"/>
  <c r="Y30" i="65"/>
  <c r="Z30" i="65" s="1"/>
  <c r="Y31" i="65"/>
  <c r="Z31" i="65" s="1"/>
  <c r="Y32" i="65"/>
  <c r="Z32" i="65" s="1"/>
  <c r="Y33" i="65"/>
  <c r="Z33" i="65" s="1"/>
  <c r="Y34" i="65"/>
  <c r="Z34" i="65" s="1"/>
  <c r="Y35" i="65"/>
  <c r="Z35" i="65" s="1"/>
  <c r="H138" i="63"/>
  <c r="G40" i="16"/>
  <c r="G39" i="16"/>
  <c r="J39" i="16"/>
  <c r="G33" i="16"/>
  <c r="G31" i="16"/>
  <c r="G32" i="16" s="1"/>
  <c r="D16" i="76"/>
  <c r="D14" i="76"/>
  <c r="F14" i="76" s="1"/>
  <c r="E9" i="56"/>
  <c r="G169" i="16" s="1"/>
  <c r="K169" i="16" s="1"/>
  <c r="F35" i="76"/>
  <c r="F34" i="76"/>
  <c r="F37" i="76" s="1"/>
  <c r="F31" i="76"/>
  <c r="F30" i="76"/>
  <c r="F29" i="76"/>
  <c r="F28" i="76"/>
  <c r="F32" i="76" s="1"/>
  <c r="F23" i="76"/>
  <c r="F22" i="76"/>
  <c r="F15" i="76"/>
  <c r="E8" i="56"/>
  <c r="G168" i="16" s="1"/>
  <c r="K168" i="16" s="1"/>
  <c r="G8" i="56"/>
  <c r="I8" i="56" s="1"/>
  <c r="H536" i="57"/>
  <c r="H475" i="57"/>
  <c r="H420" i="57"/>
  <c r="H358" i="57"/>
  <c r="H289" i="57"/>
  <c r="H173" i="57"/>
  <c r="H104" i="57"/>
  <c r="Y14" i="65"/>
  <c r="Z14" i="65" s="1"/>
  <c r="Y15" i="65"/>
  <c r="Z15" i="65" s="1"/>
  <c r="Y16" i="65"/>
  <c r="Z16" i="65" s="1"/>
  <c r="Y17" i="65"/>
  <c r="Z17" i="65" s="1"/>
  <c r="Y18" i="65"/>
  <c r="Z18" i="65" s="1"/>
  <c r="Y19" i="65"/>
  <c r="Z19" i="65" s="1"/>
  <c r="Y20" i="65"/>
  <c r="Z20" i="65" s="1"/>
  <c r="G28" i="16"/>
  <c r="G535" i="57"/>
  <c r="E535" i="57"/>
  <c r="E532" i="57"/>
  <c r="E474" i="57"/>
  <c r="E471" i="57"/>
  <c r="G428" i="57"/>
  <c r="F419" i="57"/>
  <c r="F416" i="57"/>
  <c r="D373" i="57"/>
  <c r="E28" i="56"/>
  <c r="G188" i="16" s="1"/>
  <c r="K188" i="16" s="1"/>
  <c r="G363" i="57"/>
  <c r="G364" i="57" s="1"/>
  <c r="G365" i="57" s="1"/>
  <c r="L360" i="57" s="1"/>
  <c r="H356" i="57"/>
  <c r="H355" i="57"/>
  <c r="H354" i="57"/>
  <c r="H353" i="57"/>
  <c r="G405" i="57"/>
  <c r="H332" i="57"/>
  <c r="H331" i="57"/>
  <c r="H330" i="57"/>
  <c r="H329" i="57"/>
  <c r="H328" i="57"/>
  <c r="H327" i="57"/>
  <c r="H326" i="57"/>
  <c r="H325" i="57"/>
  <c r="H324" i="57"/>
  <c r="H323" i="57"/>
  <c r="H322" i="57"/>
  <c r="H321" i="57"/>
  <c r="H320" i="57"/>
  <c r="H319" i="57"/>
  <c r="H318" i="57"/>
  <c r="H317" i="57"/>
  <c r="H316" i="57"/>
  <c r="H315" i="57"/>
  <c r="H314" i="57"/>
  <c r="H313" i="57"/>
  <c r="H312" i="57"/>
  <c r="H311" i="57"/>
  <c r="H310" i="57"/>
  <c r="H309" i="57"/>
  <c r="H308" i="57"/>
  <c r="H307" i="57"/>
  <c r="H306" i="57"/>
  <c r="H305" i="57"/>
  <c r="H304" i="57"/>
  <c r="H303" i="57"/>
  <c r="G294" i="57"/>
  <c r="H277" i="57"/>
  <c r="H278" i="57"/>
  <c r="H279" i="57"/>
  <c r="H280" i="57"/>
  <c r="H281" i="57"/>
  <c r="H282" i="57"/>
  <c r="H283" i="57"/>
  <c r="H284" i="57"/>
  <c r="H285" i="57"/>
  <c r="H286" i="57"/>
  <c r="H287" i="57"/>
  <c r="H288" i="57"/>
  <c r="H198" i="57"/>
  <c r="H191" i="57"/>
  <c r="G179" i="57"/>
  <c r="G178" i="57"/>
  <c r="E171" i="57"/>
  <c r="H171" i="57" s="1"/>
  <c r="E170" i="57"/>
  <c r="H170" i="57" s="1"/>
  <c r="E169" i="57"/>
  <c r="E164" i="57"/>
  <c r="E163" i="57"/>
  <c r="H163" i="57" s="1"/>
  <c r="E162" i="57"/>
  <c r="H120" i="57"/>
  <c r="G109" i="57"/>
  <c r="E102" i="57"/>
  <c r="H102" i="57" s="1"/>
  <c r="H99" i="57"/>
  <c r="E94" i="57"/>
  <c r="H94" i="57" s="1"/>
  <c r="H91" i="57"/>
  <c r="E86" i="57"/>
  <c r="H86" i="57" s="1"/>
  <c r="H83" i="57"/>
  <c r="E78" i="57"/>
  <c r="H78" i="57" s="1"/>
  <c r="H75" i="57"/>
  <c r="G40" i="57"/>
  <c r="H8" i="56" l="1"/>
  <c r="K39" i="16"/>
  <c r="F26" i="76"/>
  <c r="F16" i="76"/>
  <c r="F20" i="76" s="1"/>
  <c r="H357" i="57"/>
  <c r="L348" i="57" s="1"/>
  <c r="E27" i="56" s="1"/>
  <c r="G187" i="16" s="1"/>
  <c r="K187" i="16" s="1"/>
  <c r="G180" i="57"/>
  <c r="G181" i="57" s="1"/>
  <c r="H79" i="57"/>
  <c r="H95" i="57"/>
  <c r="H87" i="57"/>
  <c r="H103" i="57"/>
  <c r="F38" i="76" l="1"/>
  <c r="F9" i="56" s="1"/>
  <c r="G9" i="56" s="1"/>
  <c r="I9" i="56" s="1"/>
  <c r="L68" i="57"/>
  <c r="G38" i="76" l="1"/>
  <c r="F39" i="76"/>
  <c r="F40" i="76" s="1"/>
  <c r="H9" i="56"/>
  <c r="J35" i="16"/>
  <c r="K35" i="16" s="1"/>
  <c r="J36" i="16"/>
  <c r="K36" i="16" s="1"/>
  <c r="J37" i="16"/>
  <c r="K37" i="16" s="1"/>
  <c r="J38" i="16"/>
  <c r="K38" i="16" s="1"/>
  <c r="J40" i="16"/>
  <c r="K40" i="16" s="1"/>
  <c r="J34" i="16"/>
  <c r="K34" i="16" s="1"/>
  <c r="J28" i="16"/>
  <c r="K28" i="16" s="1"/>
  <c r="J217" i="16"/>
  <c r="K217" i="16" s="1"/>
  <c r="J216" i="16"/>
  <c r="K216" i="16" s="1"/>
  <c r="J215" i="16"/>
  <c r="K215" i="16" s="1"/>
  <c r="J214" i="16"/>
  <c r="K214" i="16" s="1"/>
  <c r="J213" i="16"/>
  <c r="K213" i="16" s="1"/>
  <c r="J212" i="16"/>
  <c r="K212" i="16" s="1"/>
  <c r="J211" i="16"/>
  <c r="K211" i="16" s="1"/>
  <c r="J210" i="16"/>
  <c r="K210" i="16" s="1"/>
  <c r="J209" i="16"/>
  <c r="J32" i="16"/>
  <c r="K32" i="16" s="1"/>
  <c r="J27" i="16"/>
  <c r="K27" i="16" s="1"/>
  <c r="J29" i="16"/>
  <c r="K29" i="16" s="1"/>
  <c r="J30" i="16"/>
  <c r="K30" i="16" s="1"/>
  <c r="J31" i="16"/>
  <c r="K31" i="16" s="1"/>
  <c r="J33" i="16"/>
  <c r="K33" i="16" s="1"/>
  <c r="J18" i="39"/>
  <c r="K18" i="39"/>
  <c r="D19" i="39"/>
  <c r="C19" i="39"/>
  <c r="N18" i="39"/>
  <c r="J20" i="46"/>
  <c r="X60" i="46"/>
  <c r="B13" i="65"/>
  <c r="D14" i="65"/>
  <c r="AE177" i="64"/>
  <c r="AD177" i="64"/>
  <c r="AC177" i="64"/>
  <c r="AB177" i="64"/>
  <c r="K178" i="64"/>
  <c r="AA177" i="64"/>
  <c r="Z177" i="64"/>
  <c r="Y177" i="64"/>
  <c r="X177" i="64"/>
  <c r="W177" i="64"/>
  <c r="V177" i="64"/>
  <c r="U177" i="64"/>
  <c r="T177" i="64"/>
  <c r="S177" i="64"/>
  <c r="Q177" i="64"/>
  <c r="P177" i="64"/>
  <c r="O177" i="64"/>
  <c r="N177" i="64"/>
  <c r="M177" i="64"/>
  <c r="H13" i="65"/>
  <c r="G13" i="38"/>
  <c r="G14" i="38"/>
  <c r="H14" i="38"/>
  <c r="N14" i="38"/>
  <c r="G15" i="38"/>
  <c r="H15" i="38"/>
  <c r="N15" i="38"/>
  <c r="G16" i="38"/>
  <c r="H16" i="38"/>
  <c r="N16" i="38"/>
  <c r="G17" i="38"/>
  <c r="H17" i="38"/>
  <c r="N17" i="38"/>
  <c r="G18" i="38"/>
  <c r="H18" i="38"/>
  <c r="N18" i="38"/>
  <c r="G19" i="38"/>
  <c r="H19" i="38"/>
  <c r="N19" i="38"/>
  <c r="G20" i="38"/>
  <c r="H20" i="38"/>
  <c r="N20" i="38"/>
  <c r="G21" i="38"/>
  <c r="H21" i="38"/>
  <c r="N21" i="38"/>
  <c r="G22" i="38"/>
  <c r="H22" i="38"/>
  <c r="N22" i="38"/>
  <c r="G23" i="38"/>
  <c r="H23" i="38"/>
  <c r="N23" i="38"/>
  <c r="G24" i="38"/>
  <c r="H24" i="38"/>
  <c r="N24" i="38"/>
  <c r="G25" i="38"/>
  <c r="H25" i="38"/>
  <c r="N25" i="38"/>
  <c r="G26" i="38"/>
  <c r="H26" i="38"/>
  <c r="N26" i="38"/>
  <c r="G27" i="38"/>
  <c r="H27" i="38"/>
  <c r="N27" i="38"/>
  <c r="G28" i="38"/>
  <c r="H28" i="38"/>
  <c r="N28" i="38"/>
  <c r="G29" i="38"/>
  <c r="H29" i="38"/>
  <c r="N29" i="38"/>
  <c r="G30" i="38"/>
  <c r="H30" i="38"/>
  <c r="N30" i="38"/>
  <c r="G31" i="38"/>
  <c r="H31" i="38"/>
  <c r="N31" i="38"/>
  <c r="G32" i="38"/>
  <c r="H32" i="38"/>
  <c r="N32" i="38"/>
  <c r="G33" i="38"/>
  <c r="H33" i="38"/>
  <c r="N33" i="38"/>
  <c r="G34" i="38"/>
  <c r="H34" i="38"/>
  <c r="N34" i="38"/>
  <c r="G35" i="38"/>
  <c r="H35" i="38"/>
  <c r="N35" i="38"/>
  <c r="G36" i="38"/>
  <c r="H36" i="38"/>
  <c r="J36" i="38"/>
  <c r="N36" i="38"/>
  <c r="G37" i="38"/>
  <c r="H37" i="38"/>
  <c r="J37" i="38"/>
  <c r="N37" i="38"/>
  <c r="G38" i="38"/>
  <c r="H38" i="38"/>
  <c r="J38" i="38"/>
  <c r="N38" i="38"/>
  <c r="G39" i="38"/>
  <c r="H39" i="38"/>
  <c r="J39" i="38"/>
  <c r="N39" i="38"/>
  <c r="G40" i="38"/>
  <c r="H40" i="38"/>
  <c r="J40" i="38"/>
  <c r="N40" i="38"/>
  <c r="G41" i="38"/>
  <c r="H41" i="38"/>
  <c r="J41" i="38"/>
  <c r="N41" i="38"/>
  <c r="G42" i="38"/>
  <c r="H42" i="38"/>
  <c r="J42" i="38"/>
  <c r="N42" i="38"/>
  <c r="G43" i="38"/>
  <c r="H43" i="38"/>
  <c r="J43" i="38"/>
  <c r="N43" i="38"/>
  <c r="G44" i="38"/>
  <c r="H44" i="38"/>
  <c r="J44" i="38"/>
  <c r="N44" i="38"/>
  <c r="G45" i="38"/>
  <c r="H45" i="38"/>
  <c r="J45" i="38"/>
  <c r="N45" i="38"/>
  <c r="G46" i="38"/>
  <c r="H46" i="38"/>
  <c r="J46" i="38"/>
  <c r="N46" i="38"/>
  <c r="G47" i="38"/>
  <c r="H47" i="38"/>
  <c r="J47" i="38"/>
  <c r="N47" i="38"/>
  <c r="G48" i="38"/>
  <c r="H48" i="38"/>
  <c r="J48" i="38"/>
  <c r="N48" i="38"/>
  <c r="G49" i="38"/>
  <c r="H49" i="38"/>
  <c r="J49" i="38"/>
  <c r="N49" i="38"/>
  <c r="G12" i="38"/>
  <c r="AE23" i="26"/>
  <c r="B36" i="26"/>
  <c r="B63" i="26" s="1"/>
  <c r="A36" i="26"/>
  <c r="A63" i="26" s="1"/>
  <c r="H32" i="56"/>
  <c r="H14" i="56"/>
  <c r="F6" i="63"/>
  <c r="F32" i="73"/>
  <c r="F31" i="73"/>
  <c r="F30" i="73"/>
  <c r="F29" i="73"/>
  <c r="F28" i="73"/>
  <c r="F27" i="73"/>
  <c r="F26" i="73"/>
  <c r="F25" i="73"/>
  <c r="F24" i="73"/>
  <c r="F23" i="73"/>
  <c r="F20" i="73"/>
  <c r="F19" i="73"/>
  <c r="F18" i="73"/>
  <c r="F17" i="73"/>
  <c r="F16" i="73"/>
  <c r="F15" i="73"/>
  <c r="F14" i="73"/>
  <c r="D13" i="73"/>
  <c r="F13" i="73" s="1"/>
  <c r="F12" i="73"/>
  <c r="F9" i="73"/>
  <c r="F8" i="73"/>
  <c r="F10" i="73" s="1"/>
  <c r="F34" i="72"/>
  <c r="F33" i="72"/>
  <c r="E30" i="72"/>
  <c r="D30" i="72"/>
  <c r="E29" i="72"/>
  <c r="D29" i="72"/>
  <c r="E28" i="72"/>
  <c r="F28" i="72" s="1"/>
  <c r="D28" i="72"/>
  <c r="F27" i="72"/>
  <c r="F22" i="72"/>
  <c r="E21" i="72"/>
  <c r="F14" i="49" s="1"/>
  <c r="F14" i="50" s="1"/>
  <c r="F14" i="51" s="1"/>
  <c r="F14" i="52" s="1"/>
  <c r="D21" i="72"/>
  <c r="F14" i="72"/>
  <c r="F13" i="72"/>
  <c r="F34" i="71"/>
  <c r="D33" i="71"/>
  <c r="F33" i="71" s="1"/>
  <c r="D32" i="71"/>
  <c r="F32" i="71" s="1"/>
  <c r="F31" i="71"/>
  <c r="E38" i="70"/>
  <c r="F34" i="70"/>
  <c r="F33" i="70"/>
  <c r="F36" i="70" s="1"/>
  <c r="D30" i="70"/>
  <c r="F30" i="70" s="1"/>
  <c r="D29" i="70"/>
  <c r="F29" i="70" s="1"/>
  <c r="D28" i="70"/>
  <c r="F28" i="70" s="1"/>
  <c r="F27" i="70"/>
  <c r="F22" i="70"/>
  <c r="D21" i="70"/>
  <c r="F21" i="70" s="1"/>
  <c r="F14" i="70"/>
  <c r="F13" i="70"/>
  <c r="F19" i="70" s="1"/>
  <c r="I49" i="69"/>
  <c r="I48" i="69"/>
  <c r="I47" i="69"/>
  <c r="I50" i="69" s="1"/>
  <c r="I44" i="69"/>
  <c r="I43" i="69"/>
  <c r="I42" i="69"/>
  <c r="I41" i="69"/>
  <c r="I40" i="69"/>
  <c r="I39" i="69"/>
  <c r="I38" i="69"/>
  <c r="I37" i="69"/>
  <c r="I33" i="69"/>
  <c r="I32" i="69"/>
  <c r="I31" i="69"/>
  <c r="I27" i="69"/>
  <c r="I26" i="69"/>
  <c r="I25" i="69"/>
  <c r="I24" i="69"/>
  <c r="I23" i="69"/>
  <c r="I22" i="69"/>
  <c r="I20" i="69"/>
  <c r="E36" i="68"/>
  <c r="F34" i="68"/>
  <c r="F28" i="68"/>
  <c r="F30" i="68" s="1"/>
  <c r="F25" i="68"/>
  <c r="F24" i="68"/>
  <c r="F23" i="68"/>
  <c r="F22" i="68"/>
  <c r="F14" i="68"/>
  <c r="F20" i="68" s="1"/>
  <c r="E38" i="67"/>
  <c r="F35" i="67"/>
  <c r="F34" i="67"/>
  <c r="F33" i="67"/>
  <c r="F31" i="67"/>
  <c r="F26" i="67"/>
  <c r="F25" i="67"/>
  <c r="D24" i="67"/>
  <c r="F24" i="67" s="1"/>
  <c r="D23" i="67"/>
  <c r="F23" i="67" s="1"/>
  <c r="F22" i="67"/>
  <c r="F21" i="67"/>
  <c r="F19" i="67"/>
  <c r="N12" i="66"/>
  <c r="L10" i="66"/>
  <c r="L13" i="66" s="1"/>
  <c r="E15" i="65"/>
  <c r="C15" i="65"/>
  <c r="E16" i="65" s="1"/>
  <c r="C16" i="65" s="1"/>
  <c r="E17" i="65" s="1"/>
  <c r="C17" i="65" s="1"/>
  <c r="E18" i="65" s="1"/>
  <c r="C18" i="65" s="1"/>
  <c r="E19" i="65" s="1"/>
  <c r="C19" i="65" s="1"/>
  <c r="E20" i="65" s="1"/>
  <c r="C20" i="65" s="1"/>
  <c r="E21" i="65" s="1"/>
  <c r="C21" i="65" s="1"/>
  <c r="E22" i="65" s="1"/>
  <c r="C22" i="65" s="1"/>
  <c r="E23" i="65" s="1"/>
  <c r="C23" i="65" s="1"/>
  <c r="E24" i="65" s="1"/>
  <c r="C24" i="65" s="1"/>
  <c r="E25" i="65" s="1"/>
  <c r="C25" i="65" s="1"/>
  <c r="E26" i="65" s="1"/>
  <c r="C26" i="65" s="1"/>
  <c r="E27" i="65" s="1"/>
  <c r="C27" i="65" s="1"/>
  <c r="E28" i="65" s="1"/>
  <c r="C28" i="65" s="1"/>
  <c r="E29" i="65" s="1"/>
  <c r="C29" i="65" s="1"/>
  <c r="E30" i="65" s="1"/>
  <c r="C30" i="65" s="1"/>
  <c r="E31" i="65" s="1"/>
  <c r="C31" i="65" s="1"/>
  <c r="E32" i="65" s="1"/>
  <c r="C32" i="65" s="1"/>
  <c r="E33" i="65" s="1"/>
  <c r="C33" i="65" s="1"/>
  <c r="E34" i="65" s="1"/>
  <c r="C34" i="65" s="1"/>
  <c r="E35" i="65" s="1"/>
  <c r="C35" i="65" s="1"/>
  <c r="E36" i="65" s="1"/>
  <c r="C36" i="65" s="1"/>
  <c r="E37" i="65" s="1"/>
  <c r="C37" i="65" s="1"/>
  <c r="E38" i="65" s="1"/>
  <c r="C38" i="65" s="1"/>
  <c r="E39" i="65" s="1"/>
  <c r="C39" i="65" s="1"/>
  <c r="K14" i="65"/>
  <c r="K15" i="65" s="1"/>
  <c r="K16" i="65" s="1"/>
  <c r="K17" i="65" s="1"/>
  <c r="K18" i="65" s="1"/>
  <c r="K19" i="65" s="1"/>
  <c r="K20" i="65" s="1"/>
  <c r="K21" i="65" s="1"/>
  <c r="K22" i="65" s="1"/>
  <c r="K23" i="65" s="1"/>
  <c r="K24" i="65" s="1"/>
  <c r="K25" i="65" s="1"/>
  <c r="K26" i="65" s="1"/>
  <c r="K27" i="65" s="1"/>
  <c r="K28" i="65" s="1"/>
  <c r="K29" i="65" s="1"/>
  <c r="K30" i="65" s="1"/>
  <c r="K31" i="65" s="1"/>
  <c r="K32" i="65" s="1"/>
  <c r="K33" i="65" s="1"/>
  <c r="K34" i="65" s="1"/>
  <c r="K35" i="65" s="1"/>
  <c r="K36" i="65" s="1"/>
  <c r="K37" i="65" s="1"/>
  <c r="K38" i="65" s="1"/>
  <c r="K39" i="65" s="1"/>
  <c r="I14" i="65"/>
  <c r="I15" i="65" s="1"/>
  <c r="I16" i="65" s="1"/>
  <c r="I17" i="65" s="1"/>
  <c r="I18" i="65" s="1"/>
  <c r="I19" i="65" s="1"/>
  <c r="I20" i="65" s="1"/>
  <c r="I21" i="65" s="1"/>
  <c r="I22" i="65" s="1"/>
  <c r="I23" i="65" s="1"/>
  <c r="I24" i="65" s="1"/>
  <c r="I25" i="65" s="1"/>
  <c r="I26" i="65" s="1"/>
  <c r="I27" i="65" s="1"/>
  <c r="I28" i="65" s="1"/>
  <c r="I29" i="65" s="1"/>
  <c r="I30" i="65" s="1"/>
  <c r="I31" i="65" s="1"/>
  <c r="I32" i="65" s="1"/>
  <c r="I33" i="65" s="1"/>
  <c r="I34" i="65" s="1"/>
  <c r="I35" i="65" s="1"/>
  <c r="I36" i="65" s="1"/>
  <c r="I37" i="65" s="1"/>
  <c r="I38" i="65" s="1"/>
  <c r="I39" i="65" s="1"/>
  <c r="G14" i="65"/>
  <c r="G15" i="65" s="1"/>
  <c r="G16" i="65" s="1"/>
  <c r="G17" i="65" s="1"/>
  <c r="G18" i="65" s="1"/>
  <c r="G19" i="65" s="1"/>
  <c r="G20" i="65" s="1"/>
  <c r="G21" i="65" s="1"/>
  <c r="G22" i="65" s="1"/>
  <c r="G23" i="65" s="1"/>
  <c r="G24" i="65" s="1"/>
  <c r="G25" i="65" s="1"/>
  <c r="G26" i="65" s="1"/>
  <c r="G27" i="65" s="1"/>
  <c r="G28" i="65" s="1"/>
  <c r="G29" i="65" s="1"/>
  <c r="G30" i="65" s="1"/>
  <c r="G31" i="65" s="1"/>
  <c r="G32" i="65" s="1"/>
  <c r="G33" i="65" s="1"/>
  <c r="G34" i="65" s="1"/>
  <c r="G35" i="65" s="1"/>
  <c r="G36" i="65" s="1"/>
  <c r="G37" i="65" s="1"/>
  <c r="G38" i="65" s="1"/>
  <c r="G39" i="65" s="1"/>
  <c r="E14" i="65"/>
  <c r="F12" i="65"/>
  <c r="O12" i="65" s="1"/>
  <c r="O270" i="64"/>
  <c r="Q269" i="64"/>
  <c r="Q268" i="64"/>
  <c r="Q267" i="64"/>
  <c r="Q266" i="64"/>
  <c r="Q265" i="64"/>
  <c r="F265" i="64"/>
  <c r="Q264" i="64"/>
  <c r="F264" i="64"/>
  <c r="Q263" i="64"/>
  <c r="F263" i="64"/>
  <c r="AC262" i="64"/>
  <c r="AB262" i="64"/>
  <c r="AA262" i="64"/>
  <c r="Z262" i="64"/>
  <c r="Q262" i="64"/>
  <c r="F262" i="64"/>
  <c r="Q261" i="64"/>
  <c r="F261" i="64"/>
  <c r="Q260" i="64"/>
  <c r="F260" i="64"/>
  <c r="Q259" i="64"/>
  <c r="F259" i="64"/>
  <c r="Q258" i="64"/>
  <c r="F258" i="64"/>
  <c r="Q257" i="64"/>
  <c r="F257" i="64"/>
  <c r="Q256" i="64"/>
  <c r="F256" i="64"/>
  <c r="Q255" i="64"/>
  <c r="F255" i="64"/>
  <c r="Q254" i="64"/>
  <c r="F254" i="64"/>
  <c r="Q253" i="64"/>
  <c r="F253" i="64"/>
  <c r="Q252" i="64"/>
  <c r="F252" i="64"/>
  <c r="Q251" i="64"/>
  <c r="F251" i="64"/>
  <c r="Q250" i="64"/>
  <c r="F250" i="64"/>
  <c r="Q249" i="64"/>
  <c r="F249" i="64"/>
  <c r="Q248" i="64"/>
  <c r="F248" i="64"/>
  <c r="Q247" i="64"/>
  <c r="F247" i="64"/>
  <c r="Q246" i="64"/>
  <c r="F246" i="64"/>
  <c r="Q245" i="64"/>
  <c r="F245" i="64"/>
  <c r="Q244" i="64"/>
  <c r="F244" i="64"/>
  <c r="Q243" i="64"/>
  <c r="F243" i="64"/>
  <c r="Q242" i="64"/>
  <c r="F242" i="64"/>
  <c r="Q241" i="64"/>
  <c r="F241" i="64"/>
  <c r="Q240" i="64"/>
  <c r="F240" i="64"/>
  <c r="Q239" i="64"/>
  <c r="F239" i="64"/>
  <c r="Q238" i="64"/>
  <c r="F238" i="64"/>
  <c r="Q237" i="64"/>
  <c r="F237" i="64"/>
  <c r="Q236" i="64"/>
  <c r="F236" i="64"/>
  <c r="Q235" i="64"/>
  <c r="F235" i="64"/>
  <c r="Q234" i="64"/>
  <c r="F234" i="64"/>
  <c r="Q233" i="64"/>
  <c r="F233" i="64"/>
  <c r="Q232" i="64"/>
  <c r="F232" i="64"/>
  <c r="Q231" i="64"/>
  <c r="F231" i="64"/>
  <c r="Q230" i="64"/>
  <c r="F230" i="64"/>
  <c r="Q229" i="64"/>
  <c r="F229" i="64"/>
  <c r="Q228" i="64"/>
  <c r="F228" i="64"/>
  <c r="Q227" i="64"/>
  <c r="F227" i="64"/>
  <c r="Q226" i="64"/>
  <c r="F226" i="64"/>
  <c r="Q225" i="64"/>
  <c r="F225" i="64"/>
  <c r="Q224" i="64"/>
  <c r="F224" i="64"/>
  <c r="Q223" i="64"/>
  <c r="F223" i="64"/>
  <c r="Q222" i="64"/>
  <c r="F222" i="64"/>
  <c r="Q221" i="64"/>
  <c r="F221" i="64"/>
  <c r="Q220" i="64"/>
  <c r="F220" i="64"/>
  <c r="Q219" i="64"/>
  <c r="F219" i="64"/>
  <c r="Q218" i="64"/>
  <c r="F218" i="64"/>
  <c r="Q217" i="64"/>
  <c r="F217" i="64"/>
  <c r="Q216" i="64"/>
  <c r="F216" i="64"/>
  <c r="Q215" i="64"/>
  <c r="F215" i="64"/>
  <c r="Q214" i="64"/>
  <c r="F214" i="64"/>
  <c r="Q213" i="64"/>
  <c r="F213" i="64"/>
  <c r="F212" i="64"/>
  <c r="Q211" i="64"/>
  <c r="F211" i="64"/>
  <c r="Q210" i="64"/>
  <c r="F210" i="64"/>
  <c r="Q209" i="64"/>
  <c r="F209" i="64"/>
  <c r="Q270" i="64" s="1"/>
  <c r="V181" i="64" s="1"/>
  <c r="Q208" i="64"/>
  <c r="F208" i="64"/>
  <c r="Y200" i="64"/>
  <c r="Y201" i="64" s="1"/>
  <c r="V200" i="64"/>
  <c r="F200" i="64"/>
  <c r="F199" i="64"/>
  <c r="F198" i="64"/>
  <c r="F196" i="64"/>
  <c r="F195" i="64"/>
  <c r="X193" i="64"/>
  <c r="F193" i="64"/>
  <c r="F191" i="64"/>
  <c r="G101" i="63" s="1"/>
  <c r="G100" i="63" s="1"/>
  <c r="F190" i="64"/>
  <c r="G98" i="63" s="1"/>
  <c r="F189" i="64"/>
  <c r="G97" i="63" s="1"/>
  <c r="F188" i="64"/>
  <c r="G96" i="63" s="1"/>
  <c r="F187" i="64"/>
  <c r="F186" i="64"/>
  <c r="Q185" i="64"/>
  <c r="F184" i="64"/>
  <c r="Q179" i="64"/>
  <c r="K176" i="64"/>
  <c r="L176" i="64" s="1"/>
  <c r="I176" i="64"/>
  <c r="H176" i="64"/>
  <c r="E176" i="64"/>
  <c r="F185" i="64" s="1"/>
  <c r="F194" i="64" s="1"/>
  <c r="AC175" i="64"/>
  <c r="AC174" i="64"/>
  <c r="H174" i="64"/>
  <c r="AC173" i="64"/>
  <c r="H173" i="64"/>
  <c r="AC172" i="64"/>
  <c r="H172" i="64"/>
  <c r="U172" i="64" s="1"/>
  <c r="AC171" i="64"/>
  <c r="H171" i="64"/>
  <c r="AC170" i="64"/>
  <c r="H170" i="64"/>
  <c r="U170" i="64" s="1"/>
  <c r="AC169" i="64"/>
  <c r="U169" i="64"/>
  <c r="H169" i="64"/>
  <c r="I169" i="64" s="1"/>
  <c r="AC168" i="64"/>
  <c r="H168" i="64"/>
  <c r="U168" i="64" s="1"/>
  <c r="AC167" i="64"/>
  <c r="H167" i="64"/>
  <c r="U167" i="64" s="1"/>
  <c r="AC166" i="64"/>
  <c r="H166" i="64"/>
  <c r="AC165" i="64"/>
  <c r="H165" i="64"/>
  <c r="U165" i="64" s="1"/>
  <c r="AC164" i="64"/>
  <c r="H164" i="64"/>
  <c r="U164" i="64" s="1"/>
  <c r="AC163" i="64"/>
  <c r="H163" i="64"/>
  <c r="AC162" i="64"/>
  <c r="H162" i="64"/>
  <c r="U162" i="64" s="1"/>
  <c r="AC161" i="64"/>
  <c r="H161" i="64"/>
  <c r="U161" i="64" s="1"/>
  <c r="AC160" i="64"/>
  <c r="H160" i="64"/>
  <c r="AC159" i="64"/>
  <c r="H159" i="64"/>
  <c r="U159" i="64" s="1"/>
  <c r="AC158" i="64"/>
  <c r="H158" i="64"/>
  <c r="AC157" i="64"/>
  <c r="H157" i="64"/>
  <c r="U157" i="64" s="1"/>
  <c r="AC156" i="64"/>
  <c r="H156" i="64"/>
  <c r="AC155" i="64"/>
  <c r="H155" i="64"/>
  <c r="AC154" i="64"/>
  <c r="H154" i="64"/>
  <c r="AC153" i="64"/>
  <c r="H153" i="64"/>
  <c r="AC152" i="64"/>
  <c r="H152" i="64"/>
  <c r="U152" i="64" s="1"/>
  <c r="AC151" i="64"/>
  <c r="H151" i="64"/>
  <c r="AC150" i="64"/>
  <c r="H150" i="64"/>
  <c r="AC149" i="64"/>
  <c r="H149" i="64"/>
  <c r="K149" i="64" s="1"/>
  <c r="L149" i="64" s="1"/>
  <c r="AD149" i="64" s="1"/>
  <c r="AC148" i="64"/>
  <c r="H148" i="64"/>
  <c r="AC147" i="64"/>
  <c r="H147" i="64"/>
  <c r="U147" i="64" s="1"/>
  <c r="AC146" i="64"/>
  <c r="H146" i="64"/>
  <c r="U146" i="64" s="1"/>
  <c r="AC145" i="64"/>
  <c r="H145" i="64"/>
  <c r="U145" i="64" s="1"/>
  <c r="AC144" i="64"/>
  <c r="H144" i="64"/>
  <c r="U144" i="64" s="1"/>
  <c r="AC143" i="64"/>
  <c r="H143" i="64"/>
  <c r="AC142" i="64"/>
  <c r="H142" i="64"/>
  <c r="AC141" i="64"/>
  <c r="H141" i="64"/>
  <c r="U141" i="64" s="1"/>
  <c r="AC140" i="64"/>
  <c r="H140" i="64"/>
  <c r="AC139" i="64"/>
  <c r="U139" i="64"/>
  <c r="H139" i="64"/>
  <c r="K139" i="64" s="1"/>
  <c r="L139" i="64" s="1"/>
  <c r="AC138" i="64"/>
  <c r="H138" i="64"/>
  <c r="AC137" i="64"/>
  <c r="H137" i="64"/>
  <c r="AC136" i="64"/>
  <c r="H136" i="64"/>
  <c r="U136" i="64" s="1"/>
  <c r="AC135" i="64"/>
  <c r="H135" i="64"/>
  <c r="AC134" i="64"/>
  <c r="H134" i="64"/>
  <c r="AC133" i="64"/>
  <c r="H133" i="64"/>
  <c r="AC132" i="64"/>
  <c r="H132" i="64"/>
  <c r="U132" i="64" s="1"/>
  <c r="AC131" i="64"/>
  <c r="H131" i="64"/>
  <c r="U131" i="64" s="1"/>
  <c r="AC130" i="64"/>
  <c r="H130" i="64"/>
  <c r="U130" i="64" s="1"/>
  <c r="AC129" i="64"/>
  <c r="U129" i="64"/>
  <c r="H129" i="64"/>
  <c r="K129" i="64" s="1"/>
  <c r="L129" i="64" s="1"/>
  <c r="AC128" i="64"/>
  <c r="H128" i="64"/>
  <c r="AC127" i="64"/>
  <c r="H127" i="64"/>
  <c r="AC126" i="64"/>
  <c r="H126" i="64"/>
  <c r="AC125" i="64"/>
  <c r="H125" i="64"/>
  <c r="U125" i="64" s="1"/>
  <c r="AC124" i="64"/>
  <c r="H124" i="64"/>
  <c r="AC123" i="64"/>
  <c r="H123" i="64"/>
  <c r="AE122" i="64"/>
  <c r="AD122" i="64"/>
  <c r="AC122" i="64"/>
  <c r="H122" i="64"/>
  <c r="K122" i="64" s="1"/>
  <c r="L122" i="64" s="1"/>
  <c r="AC121" i="64"/>
  <c r="H121" i="64"/>
  <c r="U121" i="64" s="1"/>
  <c r="AC120" i="64"/>
  <c r="H120" i="64"/>
  <c r="K120" i="64" s="1"/>
  <c r="L120" i="64" s="1"/>
  <c r="AC119" i="64"/>
  <c r="H119" i="64"/>
  <c r="U119" i="64" s="1"/>
  <c r="AC118" i="64"/>
  <c r="H118" i="64"/>
  <c r="K118" i="64" s="1"/>
  <c r="L118" i="64" s="1"/>
  <c r="AC117" i="64"/>
  <c r="U117" i="64"/>
  <c r="K117" i="64"/>
  <c r="L117" i="64" s="1"/>
  <c r="H117" i="64"/>
  <c r="I117" i="64" s="1"/>
  <c r="AC116" i="64"/>
  <c r="H116" i="64"/>
  <c r="AC115" i="64"/>
  <c r="H115" i="64"/>
  <c r="AC114" i="64"/>
  <c r="U114" i="64"/>
  <c r="H114" i="64"/>
  <c r="K114" i="64" s="1"/>
  <c r="L114" i="64" s="1"/>
  <c r="AC113" i="64"/>
  <c r="H113" i="64"/>
  <c r="AC112" i="64"/>
  <c r="H112" i="64"/>
  <c r="AC111" i="64"/>
  <c r="H111" i="64"/>
  <c r="K111" i="64" s="1"/>
  <c r="L111" i="64" s="1"/>
  <c r="AD111" i="64" s="1"/>
  <c r="AC110" i="64"/>
  <c r="H110" i="64"/>
  <c r="AC109" i="64"/>
  <c r="U109" i="64"/>
  <c r="H109" i="64"/>
  <c r="K109" i="64" s="1"/>
  <c r="L109" i="64" s="1"/>
  <c r="AC108" i="64"/>
  <c r="H108" i="64"/>
  <c r="AE107" i="64"/>
  <c r="AC107" i="64"/>
  <c r="H107" i="64"/>
  <c r="K107" i="64" s="1"/>
  <c r="L107" i="64" s="1"/>
  <c r="AD107" i="64" s="1"/>
  <c r="AC106" i="64"/>
  <c r="H106" i="64"/>
  <c r="U106" i="64" s="1"/>
  <c r="AC105" i="64"/>
  <c r="H105" i="64"/>
  <c r="U105" i="64" s="1"/>
  <c r="AC104" i="64"/>
  <c r="H104" i="64"/>
  <c r="U104" i="64" s="1"/>
  <c r="AC103" i="64"/>
  <c r="H103" i="64"/>
  <c r="I103" i="64" s="1"/>
  <c r="AD102" i="64"/>
  <c r="AC102" i="64"/>
  <c r="U102" i="64"/>
  <c r="H102" i="64"/>
  <c r="K102" i="64" s="1"/>
  <c r="L102" i="64" s="1"/>
  <c r="AE102" i="64" s="1"/>
  <c r="AC101" i="64"/>
  <c r="H101" i="64"/>
  <c r="AC100" i="64"/>
  <c r="H100" i="64"/>
  <c r="AC99" i="64"/>
  <c r="U99" i="64"/>
  <c r="H99" i="64"/>
  <c r="K99" i="64" s="1"/>
  <c r="L99" i="64" s="1"/>
  <c r="AC98" i="64"/>
  <c r="H98" i="64"/>
  <c r="AC97" i="64"/>
  <c r="U97" i="64"/>
  <c r="H97" i="64"/>
  <c r="K97" i="64" s="1"/>
  <c r="L97" i="64" s="1"/>
  <c r="AC96" i="64"/>
  <c r="H96" i="64"/>
  <c r="AC95" i="64"/>
  <c r="H95" i="64"/>
  <c r="AC94" i="64"/>
  <c r="H94" i="64"/>
  <c r="AC93" i="64"/>
  <c r="U93" i="64"/>
  <c r="K93" i="64"/>
  <c r="L93" i="64" s="1"/>
  <c r="H93" i="64"/>
  <c r="I93" i="64" s="1"/>
  <c r="N93" i="64" s="1"/>
  <c r="AC92" i="64"/>
  <c r="H92" i="64"/>
  <c r="K92" i="64" s="1"/>
  <c r="L92" i="64" s="1"/>
  <c r="AC91" i="64"/>
  <c r="H91" i="64"/>
  <c r="AC90" i="64"/>
  <c r="K90" i="64"/>
  <c r="L90" i="64" s="1"/>
  <c r="I90" i="64"/>
  <c r="H90" i="64"/>
  <c r="U90" i="64" s="1"/>
  <c r="AC89" i="64"/>
  <c r="H89" i="64"/>
  <c r="U89" i="64" s="1"/>
  <c r="AC88" i="64"/>
  <c r="H88" i="64"/>
  <c r="K88" i="64" s="1"/>
  <c r="L88" i="64" s="1"/>
  <c r="AC87" i="64"/>
  <c r="H87" i="64"/>
  <c r="AE86" i="64"/>
  <c r="AD86" i="64"/>
  <c r="AC86" i="64"/>
  <c r="H86" i="64"/>
  <c r="K86" i="64" s="1"/>
  <c r="L86" i="64" s="1"/>
  <c r="AC85" i="64"/>
  <c r="H85" i="64"/>
  <c r="K85" i="64" s="1"/>
  <c r="L85" i="64" s="1"/>
  <c r="AE85" i="64" s="1"/>
  <c r="AC84" i="64"/>
  <c r="H84" i="64"/>
  <c r="AC83" i="64"/>
  <c r="U83" i="64"/>
  <c r="H83" i="64"/>
  <c r="K83" i="64" s="1"/>
  <c r="L83" i="64" s="1"/>
  <c r="AC82" i="64"/>
  <c r="H82" i="64"/>
  <c r="K82" i="64" s="1"/>
  <c r="L82" i="64" s="1"/>
  <c r="AC81" i="64"/>
  <c r="H81" i="64"/>
  <c r="I81" i="64" s="1"/>
  <c r="AC80" i="64"/>
  <c r="U80" i="64"/>
  <c r="K80" i="64"/>
  <c r="L80" i="64" s="1"/>
  <c r="H80" i="64"/>
  <c r="I80" i="64" s="1"/>
  <c r="AC79" i="64"/>
  <c r="H79" i="64"/>
  <c r="AC78" i="64"/>
  <c r="H78" i="64"/>
  <c r="AC77" i="64"/>
  <c r="H77" i="64"/>
  <c r="U77" i="64" s="1"/>
  <c r="AC76" i="64"/>
  <c r="H76" i="64"/>
  <c r="U76" i="64" s="1"/>
  <c r="AE75" i="64"/>
  <c r="AD75" i="64"/>
  <c r="AC75" i="64"/>
  <c r="U75" i="64"/>
  <c r="H75" i="64"/>
  <c r="K75" i="64" s="1"/>
  <c r="L75" i="64" s="1"/>
  <c r="AC74" i="64"/>
  <c r="H74" i="64"/>
  <c r="AC73" i="64"/>
  <c r="H73" i="64"/>
  <c r="U73" i="64" s="1"/>
  <c r="AC72" i="64"/>
  <c r="H72" i="64"/>
  <c r="U72" i="64" s="1"/>
  <c r="AC71" i="64"/>
  <c r="H71" i="64"/>
  <c r="AC70" i="64"/>
  <c r="H70" i="64"/>
  <c r="U70" i="64" s="1"/>
  <c r="AC69" i="64"/>
  <c r="U69" i="64"/>
  <c r="H69" i="64"/>
  <c r="K69" i="64" s="1"/>
  <c r="L69" i="64" s="1"/>
  <c r="AC68" i="64"/>
  <c r="H68" i="64"/>
  <c r="K68" i="64" s="1"/>
  <c r="L68" i="64" s="1"/>
  <c r="AC67" i="64"/>
  <c r="H67" i="64"/>
  <c r="AC66" i="64"/>
  <c r="H66" i="64"/>
  <c r="AC65" i="64"/>
  <c r="H65" i="64"/>
  <c r="U65" i="64" s="1"/>
  <c r="AC64" i="64"/>
  <c r="H64" i="64"/>
  <c r="K64" i="64" s="1"/>
  <c r="L64" i="64" s="1"/>
  <c r="AC63" i="64"/>
  <c r="H63" i="64"/>
  <c r="I63" i="64" s="1"/>
  <c r="T63" i="64" s="1"/>
  <c r="AC62" i="64"/>
  <c r="H62" i="64"/>
  <c r="AC61" i="64"/>
  <c r="H61" i="64"/>
  <c r="U61" i="64" s="1"/>
  <c r="AC60" i="64"/>
  <c r="H60" i="64"/>
  <c r="K60" i="64" s="1"/>
  <c r="L60" i="64" s="1"/>
  <c r="AC59" i="64"/>
  <c r="H59" i="64"/>
  <c r="I59" i="64" s="1"/>
  <c r="AC58" i="64"/>
  <c r="H58" i="64"/>
  <c r="AC57" i="64"/>
  <c r="H57" i="64"/>
  <c r="U57" i="64" s="1"/>
  <c r="AC56" i="64"/>
  <c r="H56" i="64"/>
  <c r="AC55" i="64"/>
  <c r="U55" i="64"/>
  <c r="L55" i="64"/>
  <c r="H55" i="64"/>
  <c r="K55" i="64" s="1"/>
  <c r="AC54" i="64"/>
  <c r="H54" i="64"/>
  <c r="U54" i="64" s="1"/>
  <c r="AC53" i="64"/>
  <c r="H53" i="64"/>
  <c r="U53" i="64" s="1"/>
  <c r="AC52" i="64"/>
  <c r="H52" i="64"/>
  <c r="AC51" i="64"/>
  <c r="H51" i="64"/>
  <c r="K51" i="64" s="1"/>
  <c r="L51" i="64" s="1"/>
  <c r="AE51" i="64" s="1"/>
  <c r="AC50" i="64"/>
  <c r="U50" i="64"/>
  <c r="K50" i="64"/>
  <c r="L50" i="64" s="1"/>
  <c r="I50" i="64"/>
  <c r="H50" i="64"/>
  <c r="AC49" i="64"/>
  <c r="H49" i="64"/>
  <c r="U49" i="64" s="1"/>
  <c r="AC48" i="64"/>
  <c r="U48" i="64"/>
  <c r="L48" i="64"/>
  <c r="H48" i="64"/>
  <c r="K48" i="64" s="1"/>
  <c r="AC47" i="64"/>
  <c r="H47" i="64"/>
  <c r="AC46" i="64"/>
  <c r="H46" i="64"/>
  <c r="K46" i="64" s="1"/>
  <c r="L46" i="64" s="1"/>
  <c r="AD46" i="64" s="1"/>
  <c r="AC45" i="64"/>
  <c r="K45" i="64"/>
  <c r="L45" i="64" s="1"/>
  <c r="H45" i="64"/>
  <c r="U45" i="64" s="1"/>
  <c r="AC44" i="64"/>
  <c r="H44" i="64"/>
  <c r="AC43" i="64"/>
  <c r="H43" i="64"/>
  <c r="U43" i="64" s="1"/>
  <c r="AC42" i="64"/>
  <c r="H42" i="64"/>
  <c r="K42" i="64" s="1"/>
  <c r="L42" i="64" s="1"/>
  <c r="AC41" i="64"/>
  <c r="H41" i="64"/>
  <c r="U41" i="64" s="1"/>
  <c r="AC40" i="64"/>
  <c r="H40" i="64"/>
  <c r="K40" i="64" s="1"/>
  <c r="L40" i="64" s="1"/>
  <c r="AC39" i="64"/>
  <c r="U39" i="64"/>
  <c r="K39" i="64"/>
  <c r="L39" i="64" s="1"/>
  <c r="H39" i="64"/>
  <c r="I39" i="64" s="1"/>
  <c r="AC38" i="64"/>
  <c r="H38" i="64"/>
  <c r="AC37" i="64"/>
  <c r="H37" i="64"/>
  <c r="K37" i="64" s="1"/>
  <c r="L37" i="64" s="1"/>
  <c r="AD37" i="64" s="1"/>
  <c r="AC36" i="64"/>
  <c r="U36" i="64"/>
  <c r="H36" i="64"/>
  <c r="K36" i="64" s="1"/>
  <c r="L36" i="64" s="1"/>
  <c r="AC35" i="64"/>
  <c r="H35" i="64"/>
  <c r="AC34" i="64"/>
  <c r="U34" i="64"/>
  <c r="H34" i="64"/>
  <c r="K34" i="64" s="1"/>
  <c r="L34" i="64" s="1"/>
  <c r="AC33" i="64"/>
  <c r="H33" i="64"/>
  <c r="K33" i="64" s="1"/>
  <c r="L33" i="64" s="1"/>
  <c r="AC32" i="64"/>
  <c r="H32" i="64"/>
  <c r="AC31" i="64"/>
  <c r="H31" i="64"/>
  <c r="U31" i="64" s="1"/>
  <c r="AC30" i="64"/>
  <c r="H30" i="64"/>
  <c r="AC29" i="64"/>
  <c r="U29" i="64"/>
  <c r="H29" i="64"/>
  <c r="K29" i="64" s="1"/>
  <c r="L29" i="64" s="1"/>
  <c r="AC28" i="64"/>
  <c r="H28" i="64"/>
  <c r="K28" i="64" s="1"/>
  <c r="L28" i="64" s="1"/>
  <c r="AC27" i="64"/>
  <c r="H27" i="64"/>
  <c r="U27" i="64" s="1"/>
  <c r="AC26" i="64"/>
  <c r="H26" i="64"/>
  <c r="K26" i="64" s="1"/>
  <c r="L26" i="64" s="1"/>
  <c r="AE26" i="64" s="1"/>
  <c r="AC25" i="64"/>
  <c r="U25" i="64"/>
  <c r="K25" i="64"/>
  <c r="L25" i="64" s="1"/>
  <c r="H25" i="64"/>
  <c r="I25" i="64" s="1"/>
  <c r="T25" i="64" s="1"/>
  <c r="AC24" i="64"/>
  <c r="H24" i="64"/>
  <c r="U24" i="64" s="1"/>
  <c r="AC23" i="64"/>
  <c r="H23" i="64"/>
  <c r="AC22" i="64"/>
  <c r="K22" i="64"/>
  <c r="L22" i="64" s="1"/>
  <c r="I22" i="64"/>
  <c r="H22" i="64"/>
  <c r="U22" i="64" s="1"/>
  <c r="H21" i="64"/>
  <c r="J21" i="64" s="1"/>
  <c r="K21" i="64" s="1"/>
  <c r="L21" i="64" s="1"/>
  <c r="AC20" i="64"/>
  <c r="H20" i="64"/>
  <c r="U20" i="64" s="1"/>
  <c r="AC19" i="64"/>
  <c r="H19" i="64"/>
  <c r="U19" i="64" s="1"/>
  <c r="AC18" i="64"/>
  <c r="H18" i="64"/>
  <c r="U18" i="64" s="1"/>
  <c r="AC17" i="64"/>
  <c r="H17" i="64"/>
  <c r="I17" i="64" s="1"/>
  <c r="AC16" i="64"/>
  <c r="H16" i="64"/>
  <c r="AC15" i="64"/>
  <c r="H15" i="64"/>
  <c r="U15" i="64" s="1"/>
  <c r="AC14" i="64"/>
  <c r="H14" i="64"/>
  <c r="I14" i="64" s="1"/>
  <c r="AC13" i="64"/>
  <c r="H13" i="64"/>
  <c r="U13" i="64" s="1"/>
  <c r="AC12" i="64"/>
  <c r="H12" i="64"/>
  <c r="I12" i="64" s="1"/>
  <c r="AC11" i="64"/>
  <c r="H11" i="64"/>
  <c r="U11" i="64" s="1"/>
  <c r="AC10" i="64"/>
  <c r="H10" i="64"/>
  <c r="U10" i="64" s="1"/>
  <c r="AC9" i="64"/>
  <c r="U9" i="64"/>
  <c r="J9" i="64"/>
  <c r="I9" i="64"/>
  <c r="H9" i="64"/>
  <c r="V7" i="64"/>
  <c r="G131" i="63"/>
  <c r="G132" i="63" s="1"/>
  <c r="E130" i="63"/>
  <c r="G127" i="63"/>
  <c r="D127" i="63"/>
  <c r="B127" i="63"/>
  <c r="G126" i="63"/>
  <c r="D126" i="63"/>
  <c r="G125" i="63"/>
  <c r="D125" i="63"/>
  <c r="G124" i="63"/>
  <c r="G113" i="63" s="1"/>
  <c r="D124" i="63"/>
  <c r="G123" i="63"/>
  <c r="G122" i="63"/>
  <c r="G121" i="63"/>
  <c r="D121" i="63"/>
  <c r="B121" i="63"/>
  <c r="G120" i="63"/>
  <c r="D120" i="63"/>
  <c r="G119" i="63"/>
  <c r="D119" i="63"/>
  <c r="G118" i="63"/>
  <c r="G117" i="63"/>
  <c r="G116" i="63"/>
  <c r="D116" i="63"/>
  <c r="B116" i="63"/>
  <c r="G115" i="63"/>
  <c r="D115" i="63"/>
  <c r="C114" i="63"/>
  <c r="G109" i="63"/>
  <c r="G106" i="63"/>
  <c r="G108" i="63" s="1"/>
  <c r="G104" i="63"/>
  <c r="G103" i="63"/>
  <c r="G102" i="63"/>
  <c r="G81" i="63"/>
  <c r="G48" i="63"/>
  <c r="J47" i="63"/>
  <c r="K46" i="63" s="1"/>
  <c r="H38" i="63"/>
  <c r="G31" i="63"/>
  <c r="G241" i="16" s="1"/>
  <c r="G30" i="63"/>
  <c r="G240" i="16" s="1"/>
  <c r="K240" i="16" s="1"/>
  <c r="G29" i="63"/>
  <c r="G239" i="16" s="1"/>
  <c r="K239" i="16" s="1"/>
  <c r="F25" i="70" l="1"/>
  <c r="F36" i="72"/>
  <c r="F19" i="72"/>
  <c r="F29" i="72"/>
  <c r="I28" i="69"/>
  <c r="T18" i="39"/>
  <c r="N19" i="39"/>
  <c r="D64" i="37"/>
  <c r="F31" i="70"/>
  <c r="F26" i="68"/>
  <c r="F36" i="67"/>
  <c r="F27" i="67"/>
  <c r="F65" i="63"/>
  <c r="H65" i="63" s="1"/>
  <c r="F64" i="63"/>
  <c r="H64" i="63" s="1"/>
  <c r="F56" i="63"/>
  <c r="H56" i="63" s="1"/>
  <c r="F55" i="63"/>
  <c r="H55" i="63" s="1"/>
  <c r="F63" i="63"/>
  <c r="F60" i="63"/>
  <c r="F59" i="63"/>
  <c r="F58" i="63"/>
  <c r="F62" i="63"/>
  <c r="F61" i="63"/>
  <c r="F53" i="63"/>
  <c r="H53" i="63" s="1"/>
  <c r="F20" i="63"/>
  <c r="H20" i="63" s="1"/>
  <c r="F51" i="63"/>
  <c r="H51" i="63" s="1"/>
  <c r="F50" i="63"/>
  <c r="H50" i="63" s="1"/>
  <c r="F52" i="63"/>
  <c r="H52" i="63" s="1"/>
  <c r="F54" i="63"/>
  <c r="H54" i="63" s="1"/>
  <c r="F41" i="63"/>
  <c r="M19" i="39"/>
  <c r="F86" i="63"/>
  <c r="S176" i="64"/>
  <c r="T176" i="64"/>
  <c r="U176" i="64"/>
  <c r="AC176" i="64"/>
  <c r="F106" i="63"/>
  <c r="H106" i="63" s="1"/>
  <c r="F126" i="63"/>
  <c r="H126" i="63" s="1"/>
  <c r="F42" i="63"/>
  <c r="F119" i="63"/>
  <c r="H119" i="63" s="1"/>
  <c r="F43" i="63"/>
  <c r="F89" i="63"/>
  <c r="F46" i="63"/>
  <c r="F23" i="63"/>
  <c r="H23" i="63" s="1"/>
  <c r="F112" i="63"/>
  <c r="H112" i="63" s="1"/>
  <c r="F95" i="63"/>
  <c r="F121" i="63"/>
  <c r="H121" i="63" s="1"/>
  <c r="F98" i="63"/>
  <c r="H98" i="63" s="1"/>
  <c r="F122" i="63"/>
  <c r="H122" i="63" s="1"/>
  <c r="F30" i="63"/>
  <c r="H30" i="63" s="1"/>
  <c r="F72" i="63"/>
  <c r="H72" i="63" s="1"/>
  <c r="F100" i="63"/>
  <c r="H100" i="63" s="1"/>
  <c r="F74" i="63"/>
  <c r="H74" i="63" s="1"/>
  <c r="F101" i="63"/>
  <c r="H101" i="63" s="1"/>
  <c r="F31" i="63"/>
  <c r="H31" i="63" s="1"/>
  <c r="F75" i="63"/>
  <c r="H75" i="63" s="1"/>
  <c r="F102" i="63"/>
  <c r="H102" i="63" s="1"/>
  <c r="F87" i="63"/>
  <c r="F107" i="63"/>
  <c r="F109" i="63"/>
  <c r="H109" i="63" s="1"/>
  <c r="F21" i="63"/>
  <c r="H21" i="63" s="1"/>
  <c r="F91" i="63"/>
  <c r="F120" i="63"/>
  <c r="H120" i="63" s="1"/>
  <c r="F92" i="63"/>
  <c r="F129" i="63"/>
  <c r="F27" i="63"/>
  <c r="F130" i="63"/>
  <c r="H130" i="63" s="1"/>
  <c r="F96" i="63"/>
  <c r="H96" i="63" s="1"/>
  <c r="F115" i="63"/>
  <c r="H115" i="63" s="1"/>
  <c r="F124" i="63"/>
  <c r="H124" i="63" s="1"/>
  <c r="F33" i="63"/>
  <c r="F103" i="63"/>
  <c r="H103" i="63" s="1"/>
  <c r="F34" i="63"/>
  <c r="H34" i="63" s="1"/>
  <c r="F37" i="63"/>
  <c r="F104" i="63"/>
  <c r="H104" i="63" s="1"/>
  <c r="F17" i="63"/>
  <c r="H17" i="63" s="1"/>
  <c r="F84" i="63"/>
  <c r="F118" i="63"/>
  <c r="H118" i="63" s="1"/>
  <c r="F18" i="63"/>
  <c r="H18" i="63" s="1"/>
  <c r="F88" i="63"/>
  <c r="F44" i="63"/>
  <c r="F45" i="63"/>
  <c r="F22" i="63"/>
  <c r="H22" i="63" s="1"/>
  <c r="F110" i="63"/>
  <c r="H110" i="63" s="1"/>
  <c r="F94" i="63"/>
  <c r="F113" i="63"/>
  <c r="H113" i="63" s="1"/>
  <c r="F28" i="63"/>
  <c r="F48" i="63"/>
  <c r="H48" i="63" s="1"/>
  <c r="F131" i="63"/>
  <c r="H131" i="63" s="1"/>
  <c r="F29" i="63"/>
  <c r="H29" i="63" s="1"/>
  <c r="F71" i="63"/>
  <c r="H71" i="63" s="1"/>
  <c r="F99" i="63"/>
  <c r="F132" i="63"/>
  <c r="H132" i="63" s="1"/>
  <c r="F77" i="63"/>
  <c r="H77" i="63" s="1"/>
  <c r="F116" i="63"/>
  <c r="H116" i="63" s="1"/>
  <c r="F78" i="63"/>
  <c r="H78" i="63" s="1"/>
  <c r="F81" i="63"/>
  <c r="H81" i="63" s="1"/>
  <c r="F117" i="63"/>
  <c r="H117" i="63" s="1"/>
  <c r="F125" i="63"/>
  <c r="H125" i="63" s="1"/>
  <c r="F40" i="63"/>
  <c r="F85" i="63"/>
  <c r="F105" i="63"/>
  <c r="H105" i="63" s="1"/>
  <c r="F19" i="63"/>
  <c r="H19" i="63" s="1"/>
  <c r="AD139" i="64"/>
  <c r="AE139" i="64"/>
  <c r="T50" i="64"/>
  <c r="S50" i="64"/>
  <c r="AE114" i="64"/>
  <c r="AD114" i="64"/>
  <c r="I35" i="64"/>
  <c r="N35" i="64" s="1"/>
  <c r="U35" i="64"/>
  <c r="K35" i="64"/>
  <c r="L35" i="64" s="1"/>
  <c r="AE149" i="64"/>
  <c r="T169" i="64"/>
  <c r="S169" i="64"/>
  <c r="M169" i="64"/>
  <c r="K100" i="64"/>
  <c r="L100" i="64" s="1"/>
  <c r="U100" i="64"/>
  <c r="Q169" i="64"/>
  <c r="AE28" i="64"/>
  <c r="AD28" i="64"/>
  <c r="U52" i="64"/>
  <c r="K52" i="64"/>
  <c r="L52" i="64" s="1"/>
  <c r="AE52" i="64" s="1"/>
  <c r="I52" i="64"/>
  <c r="Q117" i="64"/>
  <c r="N117" i="64"/>
  <c r="AE117" i="64"/>
  <c r="AD117" i="64"/>
  <c r="U79" i="64"/>
  <c r="K79" i="64"/>
  <c r="L79" i="64" s="1"/>
  <c r="I79" i="64"/>
  <c r="K159" i="64"/>
  <c r="L159" i="64" s="1"/>
  <c r="I159" i="64"/>
  <c r="K30" i="64"/>
  <c r="L30" i="64" s="1"/>
  <c r="AE30" i="64" s="1"/>
  <c r="U30" i="64"/>
  <c r="AD39" i="64"/>
  <c r="AE39" i="64"/>
  <c r="AE88" i="64"/>
  <c r="AD88" i="64"/>
  <c r="AE48" i="64"/>
  <c r="AD48" i="64"/>
  <c r="K32" i="64"/>
  <c r="L32" i="64" s="1"/>
  <c r="AE32" i="64" s="1"/>
  <c r="U32" i="64"/>
  <c r="U74" i="64"/>
  <c r="K74" i="64"/>
  <c r="L74" i="64" s="1"/>
  <c r="I89" i="64"/>
  <c r="AD129" i="64"/>
  <c r="AE129" i="64"/>
  <c r="I74" i="64"/>
  <c r="M74" i="64" s="1"/>
  <c r="K89" i="64"/>
  <c r="L89" i="64" s="1"/>
  <c r="I105" i="64"/>
  <c r="T105" i="64" s="1"/>
  <c r="K105" i="64"/>
  <c r="L105" i="64" s="1"/>
  <c r="AE105" i="64" s="1"/>
  <c r="AD83" i="64"/>
  <c r="AE83" i="64"/>
  <c r="U120" i="64"/>
  <c r="U46" i="64"/>
  <c r="I26" i="64"/>
  <c r="Q26" i="64" s="1"/>
  <c r="U68" i="64"/>
  <c r="U26" i="64"/>
  <c r="I31" i="64"/>
  <c r="S31" i="64" s="1"/>
  <c r="AE46" i="64"/>
  <c r="I57" i="64"/>
  <c r="N57" i="64" s="1"/>
  <c r="I129" i="64"/>
  <c r="K31" i="64"/>
  <c r="L31" i="64" s="1"/>
  <c r="K57" i="64"/>
  <c r="L57" i="64" s="1"/>
  <c r="AD57" i="64" s="1"/>
  <c r="K63" i="64"/>
  <c r="L63" i="64" s="1"/>
  <c r="I75" i="64"/>
  <c r="U85" i="64"/>
  <c r="AD26" i="64"/>
  <c r="I69" i="64"/>
  <c r="U107" i="64"/>
  <c r="AE111" i="64"/>
  <c r="U122" i="64"/>
  <c r="U42" i="64"/>
  <c r="AD51" i="64"/>
  <c r="U63" i="64"/>
  <c r="U37" i="64"/>
  <c r="K59" i="64"/>
  <c r="L59" i="64" s="1"/>
  <c r="Q59" i="64" s="1"/>
  <c r="K81" i="64"/>
  <c r="L81" i="64" s="1"/>
  <c r="M81" i="64" s="1"/>
  <c r="I109" i="64"/>
  <c r="AE37" i="64"/>
  <c r="K76" i="64"/>
  <c r="L76" i="64" s="1"/>
  <c r="AD76" i="64" s="1"/>
  <c r="K103" i="64"/>
  <c r="L103" i="64" s="1"/>
  <c r="AD103" i="64" s="1"/>
  <c r="K24" i="64"/>
  <c r="L24" i="64" s="1"/>
  <c r="K49" i="64"/>
  <c r="L49" i="64" s="1"/>
  <c r="U59" i="64"/>
  <c r="I65" i="64"/>
  <c r="S65" i="64" s="1"/>
  <c r="U92" i="64"/>
  <c r="U103" i="64"/>
  <c r="U82" i="64"/>
  <c r="I139" i="64"/>
  <c r="U149" i="64"/>
  <c r="K169" i="64"/>
  <c r="L169" i="64" s="1"/>
  <c r="I43" i="64"/>
  <c r="N43" i="64" s="1"/>
  <c r="K43" i="64"/>
  <c r="L43" i="64" s="1"/>
  <c r="AD43" i="64" s="1"/>
  <c r="I149" i="64"/>
  <c r="U28" i="64"/>
  <c r="I114" i="64"/>
  <c r="U33" i="64"/>
  <c r="I49" i="64"/>
  <c r="S49" i="64" s="1"/>
  <c r="U81" i="64"/>
  <c r="I99" i="64"/>
  <c r="K65" i="64"/>
  <c r="L65" i="64" s="1"/>
  <c r="AE65" i="64" s="1"/>
  <c r="K72" i="64"/>
  <c r="L72" i="64" s="1"/>
  <c r="U88" i="64"/>
  <c r="I29" i="64"/>
  <c r="N29" i="64" s="1"/>
  <c r="I34" i="64"/>
  <c r="T34" i="64" s="1"/>
  <c r="I45" i="64"/>
  <c r="S45" i="64" s="1"/>
  <c r="U60" i="64"/>
  <c r="I20" i="64"/>
  <c r="K20" i="64"/>
  <c r="L20" i="64" s="1"/>
  <c r="N20" i="64" s="1"/>
  <c r="I11" i="64"/>
  <c r="S11" i="64" s="1"/>
  <c r="I13" i="64"/>
  <c r="S14" i="64"/>
  <c r="T14" i="64"/>
  <c r="U14" i="64"/>
  <c r="I15" i="64"/>
  <c r="T15" i="64" s="1"/>
  <c r="U17" i="64"/>
  <c r="G94" i="63"/>
  <c r="G95" i="63" s="1"/>
  <c r="G99" i="63"/>
  <c r="F33" i="73"/>
  <c r="G34" i="73" s="1"/>
  <c r="AD120" i="64"/>
  <c r="AE120" i="64"/>
  <c r="AE74" i="64"/>
  <c r="AD74" i="64"/>
  <c r="AE57" i="64"/>
  <c r="AD69" i="64"/>
  <c r="AE69" i="64"/>
  <c r="M69" i="64"/>
  <c r="AD90" i="64"/>
  <c r="AE90" i="64"/>
  <c r="AE22" i="64"/>
  <c r="AD22" i="64"/>
  <c r="AE64" i="64"/>
  <c r="AD64" i="64"/>
  <c r="AE24" i="64"/>
  <c r="AD24" i="64"/>
  <c r="K9" i="64"/>
  <c r="J10" i="64"/>
  <c r="AE43" i="64"/>
  <c r="AD50" i="64"/>
  <c r="AE50" i="64"/>
  <c r="AE40" i="64"/>
  <c r="AD40" i="64"/>
  <c r="I64" i="64"/>
  <c r="T20" i="64"/>
  <c r="S20" i="64"/>
  <c r="M20" i="64"/>
  <c r="Q20" i="64"/>
  <c r="Q50" i="64"/>
  <c r="AD31" i="64"/>
  <c r="AE31" i="64"/>
  <c r="U64" i="64"/>
  <c r="AE72" i="64"/>
  <c r="AD72" i="64"/>
  <c r="Q103" i="64"/>
  <c r="N103" i="64"/>
  <c r="T103" i="64"/>
  <c r="S103" i="64"/>
  <c r="M103" i="64"/>
  <c r="AE45" i="64"/>
  <c r="AD45" i="64"/>
  <c r="T69" i="64"/>
  <c r="S69" i="64"/>
  <c r="F37" i="70"/>
  <c r="K108" i="64"/>
  <c r="L108" i="64" s="1"/>
  <c r="U108" i="64"/>
  <c r="I108" i="64"/>
  <c r="K151" i="64"/>
  <c r="L151" i="64" s="1"/>
  <c r="I151" i="64"/>
  <c r="U151" i="64"/>
  <c r="K27" i="64"/>
  <c r="L27" i="64" s="1"/>
  <c r="I27" i="64"/>
  <c r="AD30" i="64"/>
  <c r="AE36" i="64"/>
  <c r="AD36" i="64"/>
  <c r="M50" i="64"/>
  <c r="N50" i="64"/>
  <c r="U71" i="64"/>
  <c r="K71" i="64"/>
  <c r="L71" i="64" s="1"/>
  <c r="I71" i="64"/>
  <c r="K137" i="64"/>
  <c r="L137" i="64" s="1"/>
  <c r="I137" i="64"/>
  <c r="U137" i="64"/>
  <c r="I40" i="64"/>
  <c r="AD79" i="64"/>
  <c r="AE79" i="64"/>
  <c r="Q79" i="64"/>
  <c r="AD92" i="64"/>
  <c r="AE92" i="64"/>
  <c r="O117" i="64"/>
  <c r="X117" i="64" s="1"/>
  <c r="AB117" i="64" s="1"/>
  <c r="U40" i="64"/>
  <c r="M79" i="64"/>
  <c r="U96" i="64"/>
  <c r="K96" i="64"/>
  <c r="L96" i="64" s="1"/>
  <c r="I96" i="64"/>
  <c r="AD20" i="64"/>
  <c r="AE20" i="64"/>
  <c r="T31" i="64"/>
  <c r="N79" i="64"/>
  <c r="AD25" i="64"/>
  <c r="AE25" i="64"/>
  <c r="N25" i="64"/>
  <c r="K62" i="64"/>
  <c r="L62" i="64" s="1"/>
  <c r="U62" i="64"/>
  <c r="S17" i="64"/>
  <c r="AD42" i="64"/>
  <c r="AE42" i="64"/>
  <c r="I62" i="64"/>
  <c r="N69" i="64"/>
  <c r="Q74" i="64"/>
  <c r="S90" i="64"/>
  <c r="Q90" i="64"/>
  <c r="T90" i="64"/>
  <c r="N90" i="64"/>
  <c r="M90" i="64"/>
  <c r="O93" i="64"/>
  <c r="X93" i="64" s="1"/>
  <c r="AB93" i="64" s="1"/>
  <c r="T17" i="64"/>
  <c r="AD59" i="64"/>
  <c r="N59" i="64"/>
  <c r="AE59" i="64"/>
  <c r="K66" i="64"/>
  <c r="L66" i="64" s="1"/>
  <c r="U66" i="64"/>
  <c r="I66" i="64"/>
  <c r="AE93" i="64"/>
  <c r="AD93" i="64"/>
  <c r="K98" i="64"/>
  <c r="L98" i="64" s="1"/>
  <c r="U98" i="64"/>
  <c r="B14" i="65"/>
  <c r="D15" i="65" s="1"/>
  <c r="AE35" i="64"/>
  <c r="AD35" i="64"/>
  <c r="AD49" i="64"/>
  <c r="AE49" i="64"/>
  <c r="S52" i="64"/>
  <c r="Q52" i="64"/>
  <c r="I77" i="64"/>
  <c r="I98" i="64"/>
  <c r="U112" i="64"/>
  <c r="K112" i="64"/>
  <c r="L112" i="64" s="1"/>
  <c r="I112" i="64"/>
  <c r="U115" i="64"/>
  <c r="K115" i="64"/>
  <c r="L115" i="64" s="1"/>
  <c r="I115" i="64"/>
  <c r="U123" i="64"/>
  <c r="K123" i="64"/>
  <c r="L123" i="64" s="1"/>
  <c r="I123" i="64"/>
  <c r="T22" i="64"/>
  <c r="S22" i="64"/>
  <c r="Q22" i="64"/>
  <c r="AD29" i="64"/>
  <c r="AE29" i="64"/>
  <c r="Q69" i="64"/>
  <c r="K77" i="64"/>
  <c r="L77" i="64" s="1"/>
  <c r="K160" i="64"/>
  <c r="L160" i="64" s="1"/>
  <c r="I160" i="64"/>
  <c r="U160" i="64"/>
  <c r="K148" i="64"/>
  <c r="L148" i="64" s="1"/>
  <c r="I148" i="64"/>
  <c r="U148" i="64"/>
  <c r="AE33" i="64"/>
  <c r="AD33" i="64"/>
  <c r="M52" i="64"/>
  <c r="AE60" i="64"/>
  <c r="AD60" i="64"/>
  <c r="AD105" i="64"/>
  <c r="N105" i="64"/>
  <c r="M105" i="64"/>
  <c r="M22" i="64"/>
  <c r="N52" i="64"/>
  <c r="U113" i="64"/>
  <c r="K113" i="64"/>
  <c r="L113" i="64" s="1"/>
  <c r="I113" i="64"/>
  <c r="T9" i="64"/>
  <c r="S9" i="64"/>
  <c r="N22" i="64"/>
  <c r="T52" i="64"/>
  <c r="AE81" i="64"/>
  <c r="AD81" i="64"/>
  <c r="Q176" i="64"/>
  <c r="N176" i="64"/>
  <c r="M176" i="64"/>
  <c r="AE176" i="64"/>
  <c r="AD176" i="64"/>
  <c r="N65" i="64"/>
  <c r="AE118" i="64"/>
  <c r="AD118" i="64"/>
  <c r="I121" i="64"/>
  <c r="U143" i="64"/>
  <c r="K143" i="64"/>
  <c r="L143" i="64" s="1"/>
  <c r="I143" i="64"/>
  <c r="AE34" i="64"/>
  <c r="AD34" i="64"/>
  <c r="M34" i="64"/>
  <c r="K84" i="64"/>
  <c r="L84" i="64" s="1"/>
  <c r="I84" i="64"/>
  <c r="U84" i="64"/>
  <c r="K87" i="64"/>
  <c r="L87" i="64" s="1"/>
  <c r="I87" i="64"/>
  <c r="U87" i="64"/>
  <c r="K101" i="64"/>
  <c r="L101" i="64" s="1"/>
  <c r="I101" i="64"/>
  <c r="U101" i="64"/>
  <c r="AE103" i="64"/>
  <c r="I106" i="64"/>
  <c r="K121" i="64"/>
  <c r="L121" i="64" s="1"/>
  <c r="I10" i="64"/>
  <c r="T12" i="64"/>
  <c r="S12" i="64"/>
  <c r="S80" i="64"/>
  <c r="Q80" i="64"/>
  <c r="N80" i="64"/>
  <c r="M80" i="64"/>
  <c r="AE99" i="64"/>
  <c r="AD99" i="64"/>
  <c r="K106" i="64"/>
  <c r="L106" i="64" s="1"/>
  <c r="I111" i="64"/>
  <c r="K174" i="64"/>
  <c r="L174" i="64" s="1"/>
  <c r="I174" i="64"/>
  <c r="U174" i="64"/>
  <c r="U44" i="64"/>
  <c r="K44" i="64"/>
  <c r="L44" i="64" s="1"/>
  <c r="M49" i="64"/>
  <c r="U56" i="64"/>
  <c r="K56" i="64"/>
  <c r="L56" i="64" s="1"/>
  <c r="AE80" i="64"/>
  <c r="AD80" i="64"/>
  <c r="I104" i="64"/>
  <c r="I44" i="64"/>
  <c r="K47" i="64"/>
  <c r="L47" i="64" s="1"/>
  <c r="I47" i="64"/>
  <c r="I54" i="64"/>
  <c r="I56" i="64"/>
  <c r="AE82" i="64"/>
  <c r="AD82" i="64"/>
  <c r="U94" i="64"/>
  <c r="K94" i="64"/>
  <c r="L94" i="64" s="1"/>
  <c r="K104" i="64"/>
  <c r="L104" i="64" s="1"/>
  <c r="K135" i="64"/>
  <c r="L135" i="64" s="1"/>
  <c r="I135" i="64"/>
  <c r="U135" i="64"/>
  <c r="K156" i="64"/>
  <c r="L156" i="64" s="1"/>
  <c r="I156" i="64"/>
  <c r="U156" i="64"/>
  <c r="I16" i="64"/>
  <c r="U16" i="64"/>
  <c r="K54" i="64"/>
  <c r="L54" i="64" s="1"/>
  <c r="I92" i="64"/>
  <c r="I94" i="64"/>
  <c r="AE97" i="64"/>
  <c r="AD97" i="64"/>
  <c r="U111" i="64"/>
  <c r="K171" i="64"/>
  <c r="L171" i="64" s="1"/>
  <c r="I171" i="64"/>
  <c r="U171" i="64"/>
  <c r="F37" i="67"/>
  <c r="K78" i="64"/>
  <c r="L78" i="64" s="1"/>
  <c r="U78" i="64"/>
  <c r="I78" i="64"/>
  <c r="T80" i="64"/>
  <c r="AE21" i="64"/>
  <c r="AD21" i="64"/>
  <c r="AD65" i="64"/>
  <c r="M26" i="64"/>
  <c r="Q45" i="64"/>
  <c r="U47" i="64"/>
  <c r="F10" i="66"/>
  <c r="I11" i="66"/>
  <c r="F197" i="64"/>
  <c r="AC21" i="64"/>
  <c r="G90" i="63" s="1"/>
  <c r="T39" i="64"/>
  <c r="S39" i="64"/>
  <c r="N39" i="64"/>
  <c r="M39" i="64"/>
  <c r="Q39" i="64"/>
  <c r="K91" i="64"/>
  <c r="L91" i="64" s="1"/>
  <c r="I91" i="64"/>
  <c r="K110" i="64"/>
  <c r="L110" i="64" s="1"/>
  <c r="I110" i="64"/>
  <c r="U110" i="64"/>
  <c r="U133" i="64"/>
  <c r="K133" i="64"/>
  <c r="L133" i="64" s="1"/>
  <c r="I133" i="64"/>
  <c r="U163" i="64"/>
  <c r="K163" i="64"/>
  <c r="L163" i="64" s="1"/>
  <c r="I163" i="64"/>
  <c r="T81" i="64"/>
  <c r="S81" i="64"/>
  <c r="I21" i="64"/>
  <c r="N21" i="64" s="1"/>
  <c r="I41" i="64"/>
  <c r="I53" i="64"/>
  <c r="K73" i="64"/>
  <c r="L73" i="64" s="1"/>
  <c r="I107" i="64"/>
  <c r="K41" i="64"/>
  <c r="L41" i="64" s="1"/>
  <c r="K53" i="64"/>
  <c r="L53" i="64" s="1"/>
  <c r="U86" i="64"/>
  <c r="U95" i="64"/>
  <c r="K95" i="64"/>
  <c r="L95" i="64" s="1"/>
  <c r="I95" i="64"/>
  <c r="U116" i="64"/>
  <c r="I116" i="64"/>
  <c r="K116" i="64"/>
  <c r="L116" i="64" s="1"/>
  <c r="I18" i="64"/>
  <c r="U23" i="64"/>
  <c r="K23" i="64"/>
  <c r="L23" i="64" s="1"/>
  <c r="N63" i="64"/>
  <c r="Q63" i="64"/>
  <c r="M63" i="64"/>
  <c r="N81" i="64"/>
  <c r="U91" i="64"/>
  <c r="M93" i="64"/>
  <c r="K126" i="64"/>
  <c r="L126" i="64" s="1"/>
  <c r="I126" i="64"/>
  <c r="U126" i="64"/>
  <c r="U12" i="64"/>
  <c r="I23" i="64"/>
  <c r="I30" i="64"/>
  <c r="I33" i="64"/>
  <c r="I118" i="64"/>
  <c r="U118" i="64"/>
  <c r="I120" i="64"/>
  <c r="K124" i="64"/>
  <c r="L124" i="64" s="1"/>
  <c r="I124" i="64"/>
  <c r="U124" i="64"/>
  <c r="K130" i="64"/>
  <c r="L130" i="64" s="1"/>
  <c r="I130" i="64"/>
  <c r="K140" i="64"/>
  <c r="L140" i="64" s="1"/>
  <c r="I140" i="64"/>
  <c r="U140" i="64"/>
  <c r="K155" i="64"/>
  <c r="L155" i="64" s="1"/>
  <c r="I155" i="64"/>
  <c r="U155" i="64"/>
  <c r="K164" i="64"/>
  <c r="L164" i="64" s="1"/>
  <c r="I164" i="64"/>
  <c r="K166" i="64"/>
  <c r="L166" i="64" s="1"/>
  <c r="I166" i="64"/>
  <c r="U166" i="64"/>
  <c r="K154" i="64"/>
  <c r="L154" i="64" s="1"/>
  <c r="I154" i="64"/>
  <c r="U154" i="64"/>
  <c r="K172" i="64"/>
  <c r="L172" i="64" s="1"/>
  <c r="I172" i="64"/>
  <c r="U21" i="64"/>
  <c r="I51" i="64"/>
  <c r="AE68" i="64"/>
  <c r="AD68" i="64"/>
  <c r="I86" i="64"/>
  <c r="I73" i="64"/>
  <c r="T93" i="64"/>
  <c r="S93" i="64"/>
  <c r="Q93" i="64"/>
  <c r="K138" i="64"/>
  <c r="L138" i="64" s="1"/>
  <c r="I138" i="64"/>
  <c r="U138" i="64"/>
  <c r="K168" i="64"/>
  <c r="L168" i="64" s="1"/>
  <c r="I168" i="64"/>
  <c r="F35" i="68"/>
  <c r="Q25" i="64"/>
  <c r="M25" i="64"/>
  <c r="S25" i="64"/>
  <c r="M43" i="64"/>
  <c r="U51" i="64"/>
  <c r="AE55" i="64"/>
  <c r="AD55" i="64"/>
  <c r="S63" i="64"/>
  <c r="Q65" i="64"/>
  <c r="M65" i="64"/>
  <c r="T65" i="64"/>
  <c r="K67" i="64"/>
  <c r="L67" i="64" s="1"/>
  <c r="I67" i="64"/>
  <c r="U67" i="64"/>
  <c r="AD85" i="64"/>
  <c r="K158" i="64"/>
  <c r="L158" i="64" s="1"/>
  <c r="I158" i="64"/>
  <c r="U158" i="64"/>
  <c r="F13" i="65"/>
  <c r="I19" i="64"/>
  <c r="I24" i="64"/>
  <c r="I72" i="64"/>
  <c r="I76" i="64"/>
  <c r="K38" i="64"/>
  <c r="L38" i="64" s="1"/>
  <c r="U38" i="64"/>
  <c r="I38" i="64"/>
  <c r="I32" i="64"/>
  <c r="I102" i="64"/>
  <c r="K134" i="64"/>
  <c r="L134" i="64" s="1"/>
  <c r="I134" i="64"/>
  <c r="U134" i="64"/>
  <c r="K144" i="64"/>
  <c r="L144" i="64" s="1"/>
  <c r="I144" i="64"/>
  <c r="K147" i="64"/>
  <c r="L147" i="64" s="1"/>
  <c r="I147" i="64"/>
  <c r="K150" i="64"/>
  <c r="L150" i="64" s="1"/>
  <c r="I150" i="64"/>
  <c r="U150" i="64"/>
  <c r="I42" i="64"/>
  <c r="I46" i="64"/>
  <c r="I55" i="64"/>
  <c r="I70" i="64"/>
  <c r="T79" i="64"/>
  <c r="S79" i="64"/>
  <c r="I97" i="64"/>
  <c r="I119" i="64"/>
  <c r="K128" i="64"/>
  <c r="L128" i="64" s="1"/>
  <c r="I128" i="64"/>
  <c r="U128" i="64"/>
  <c r="K142" i="64"/>
  <c r="L142" i="64" s="1"/>
  <c r="I142" i="64"/>
  <c r="U142" i="64"/>
  <c r="K131" i="64"/>
  <c r="L131" i="64" s="1"/>
  <c r="I131" i="64"/>
  <c r="K170" i="64"/>
  <c r="L170" i="64" s="1"/>
  <c r="I170" i="64"/>
  <c r="I85" i="64"/>
  <c r="S89" i="64"/>
  <c r="Q89" i="64"/>
  <c r="S129" i="64"/>
  <c r="K152" i="64"/>
  <c r="L152" i="64" s="1"/>
  <c r="I152" i="64"/>
  <c r="I61" i="64"/>
  <c r="K61" i="64"/>
  <c r="L61" i="64" s="1"/>
  <c r="K70" i="64"/>
  <c r="L70" i="64" s="1"/>
  <c r="AD89" i="64"/>
  <c r="AE89" i="64"/>
  <c r="S105" i="64"/>
  <c r="Q105" i="64"/>
  <c r="AE109" i="64"/>
  <c r="AD109" i="64"/>
  <c r="K119" i="64"/>
  <c r="L119" i="64" s="1"/>
  <c r="K125" i="64"/>
  <c r="L125" i="64" s="1"/>
  <c r="I125" i="64"/>
  <c r="F21" i="72"/>
  <c r="F25" i="72" s="1"/>
  <c r="K162" i="64"/>
  <c r="L162" i="64" s="1"/>
  <c r="I162" i="64"/>
  <c r="F30" i="72"/>
  <c r="K157" i="64"/>
  <c r="L157" i="64" s="1"/>
  <c r="I157" i="64"/>
  <c r="U173" i="64"/>
  <c r="K173" i="64"/>
  <c r="L173" i="64" s="1"/>
  <c r="I173" i="64"/>
  <c r="F35" i="71"/>
  <c r="F36" i="71" s="1"/>
  <c r="F37" i="71" s="1"/>
  <c r="F38" i="71" s="1"/>
  <c r="I37" i="64"/>
  <c r="I60" i="64"/>
  <c r="I83" i="64"/>
  <c r="I100" i="64"/>
  <c r="T117" i="64"/>
  <c r="S117" i="64"/>
  <c r="V117" i="64" s="1"/>
  <c r="K127" i="64"/>
  <c r="L127" i="64" s="1"/>
  <c r="I127" i="64"/>
  <c r="U127" i="64"/>
  <c r="K165" i="64"/>
  <c r="L165" i="64" s="1"/>
  <c r="I165" i="64"/>
  <c r="I36" i="64"/>
  <c r="K58" i="64"/>
  <c r="L58" i="64" s="1"/>
  <c r="U58" i="64"/>
  <c r="T59" i="64"/>
  <c r="S59" i="64"/>
  <c r="I82" i="64"/>
  <c r="I122" i="64"/>
  <c r="K136" i="64"/>
  <c r="L136" i="64" s="1"/>
  <c r="I136" i="64"/>
  <c r="K141" i="64"/>
  <c r="L141" i="64" s="1"/>
  <c r="I141" i="64"/>
  <c r="F21" i="73"/>
  <c r="K145" i="64"/>
  <c r="L145" i="64" s="1"/>
  <c r="I145" i="64"/>
  <c r="F123" i="63"/>
  <c r="H123" i="63" s="1"/>
  <c r="F111" i="63"/>
  <c r="H111" i="63" s="1"/>
  <c r="F97" i="63"/>
  <c r="H97" i="63" s="1"/>
  <c r="F90" i="63"/>
  <c r="F73" i="63"/>
  <c r="H73" i="63" s="1"/>
  <c r="F32" i="63"/>
  <c r="F83" i="63"/>
  <c r="F39" i="63"/>
  <c r="F76" i="63"/>
  <c r="H76" i="63" s="1"/>
  <c r="F93" i="63"/>
  <c r="H93" i="63" s="1"/>
  <c r="F108" i="63"/>
  <c r="H108" i="63" s="1"/>
  <c r="F127" i="63"/>
  <c r="H127" i="63" s="1"/>
  <c r="I58" i="64"/>
  <c r="M117" i="64"/>
  <c r="M149" i="64"/>
  <c r="K161" i="64"/>
  <c r="L161" i="64" s="1"/>
  <c r="I161" i="64"/>
  <c r="K132" i="64"/>
  <c r="L132" i="64" s="1"/>
  <c r="I132" i="64"/>
  <c r="K146" i="64"/>
  <c r="L146" i="64" s="1"/>
  <c r="I146" i="64"/>
  <c r="I28" i="64"/>
  <c r="I48" i="64"/>
  <c r="I68" i="64"/>
  <c r="I88" i="64"/>
  <c r="U153" i="64"/>
  <c r="K153" i="64"/>
  <c r="L153" i="64" s="1"/>
  <c r="I153" i="64"/>
  <c r="K167" i="64"/>
  <c r="L167" i="64" s="1"/>
  <c r="I167" i="64"/>
  <c r="I45" i="69"/>
  <c r="I51" i="69" s="1"/>
  <c r="G37" i="70" l="1"/>
  <c r="I246" i="16"/>
  <c r="J246" i="16" s="1"/>
  <c r="K246" i="16" s="1"/>
  <c r="F38" i="70"/>
  <c r="F39" i="70" s="1"/>
  <c r="E36" i="63" s="1"/>
  <c r="E82" i="63" s="1"/>
  <c r="F82" i="63" s="1"/>
  <c r="F31" i="72"/>
  <c r="F37" i="72" s="1"/>
  <c r="F38" i="72" s="1"/>
  <c r="F39" i="72" s="1"/>
  <c r="AA13" i="65"/>
  <c r="AB13" i="65"/>
  <c r="H95" i="63"/>
  <c r="H99" i="63"/>
  <c r="T99" i="64"/>
  <c r="S99" i="64"/>
  <c r="AE76" i="64"/>
  <c r="S57" i="64"/>
  <c r="V57" i="64" s="1"/>
  <c r="S114" i="64"/>
  <c r="T114" i="64"/>
  <c r="N114" i="64"/>
  <c r="M114" i="64"/>
  <c r="Q114" i="64"/>
  <c r="M35" i="64"/>
  <c r="Q49" i="64"/>
  <c r="T57" i="64"/>
  <c r="AE100" i="64"/>
  <c r="AD100" i="64"/>
  <c r="M57" i="64"/>
  <c r="Q29" i="64"/>
  <c r="V29" i="64" s="1"/>
  <c r="Q149" i="64"/>
  <c r="N149" i="64"/>
  <c r="Q35" i="64"/>
  <c r="V35" i="64" s="1"/>
  <c r="Q43" i="64"/>
  <c r="V43" i="64" s="1"/>
  <c r="M21" i="64"/>
  <c r="S21" i="64"/>
  <c r="S43" i="64"/>
  <c r="T21" i="64"/>
  <c r="T26" i="64"/>
  <c r="T29" i="64"/>
  <c r="N31" i="64"/>
  <c r="O31" i="64" s="1"/>
  <c r="X31" i="64" s="1"/>
  <c r="AB31" i="64" s="1"/>
  <c r="AD169" i="64"/>
  <c r="AE169" i="64"/>
  <c r="T159" i="64"/>
  <c r="S159" i="64"/>
  <c r="Q159" i="64"/>
  <c r="N159" i="64"/>
  <c r="M159" i="64"/>
  <c r="N169" i="64"/>
  <c r="N99" i="64"/>
  <c r="Q109" i="64"/>
  <c r="N109" i="64"/>
  <c r="M109" i="64"/>
  <c r="T109" i="64"/>
  <c r="S109" i="64"/>
  <c r="Q57" i="64"/>
  <c r="T49" i="64"/>
  <c r="AD32" i="64"/>
  <c r="S29" i="64"/>
  <c r="S26" i="64"/>
  <c r="V26" i="64" s="1"/>
  <c r="M29" i="64"/>
  <c r="S149" i="64"/>
  <c r="T43" i="64"/>
  <c r="Q81" i="64"/>
  <c r="Q21" i="64"/>
  <c r="V21" i="64" s="1"/>
  <c r="N26" i="64"/>
  <c r="P26" i="64" s="1"/>
  <c r="Y26" i="64" s="1"/>
  <c r="Z26" i="64" s="1"/>
  <c r="Q31" i="64"/>
  <c r="N45" i="64"/>
  <c r="AD159" i="64"/>
  <c r="AE159" i="64"/>
  <c r="T149" i="64"/>
  <c r="N49" i="64"/>
  <c r="O49" i="64" s="1"/>
  <c r="X49" i="64" s="1"/>
  <c r="AB49" i="64" s="1"/>
  <c r="Q99" i="64"/>
  <c r="N74" i="64"/>
  <c r="O74" i="64" s="1"/>
  <c r="X74" i="64" s="1"/>
  <c r="AB74" i="64" s="1"/>
  <c r="M31" i="64"/>
  <c r="AD52" i="64"/>
  <c r="T139" i="64"/>
  <c r="S139" i="64"/>
  <c r="Q139" i="64"/>
  <c r="N139" i="64"/>
  <c r="M139" i="64"/>
  <c r="T35" i="64"/>
  <c r="S35" i="64"/>
  <c r="S74" i="64"/>
  <c r="T74" i="64"/>
  <c r="T75" i="64"/>
  <c r="S75" i="64"/>
  <c r="M75" i="64"/>
  <c r="M99" i="64"/>
  <c r="N34" i="64"/>
  <c r="V34" i="64" s="1"/>
  <c r="AE63" i="64"/>
  <c r="AD63" i="64"/>
  <c r="T89" i="64"/>
  <c r="N89" i="64"/>
  <c r="M89" i="64"/>
  <c r="N75" i="64"/>
  <c r="O75" i="64" s="1"/>
  <c r="Q34" i="64"/>
  <c r="W117" i="64"/>
  <c r="AA117" i="64" s="1"/>
  <c r="Q75" i="64"/>
  <c r="W93" i="64"/>
  <c r="AA93" i="64" s="1"/>
  <c r="T45" i="64"/>
  <c r="S34" i="64"/>
  <c r="M45" i="64"/>
  <c r="M59" i="64"/>
  <c r="T129" i="64"/>
  <c r="Q129" i="64"/>
  <c r="M129" i="64"/>
  <c r="N129" i="64"/>
  <c r="O129" i="64" s="1"/>
  <c r="X129" i="64" s="1"/>
  <c r="AB129" i="64" s="1"/>
  <c r="T11" i="64"/>
  <c r="H94" i="63"/>
  <c r="S15" i="64"/>
  <c r="T13" i="64"/>
  <c r="S13" i="64"/>
  <c r="H69" i="63"/>
  <c r="H90" i="63"/>
  <c r="O21" i="64"/>
  <c r="X21" i="64" s="1"/>
  <c r="I13" i="66"/>
  <c r="G27" i="63" s="1"/>
  <c r="H27" i="63" s="1"/>
  <c r="K11" i="66"/>
  <c r="M11" i="66" s="1"/>
  <c r="N11" i="66" s="1"/>
  <c r="I52" i="69"/>
  <c r="I53" i="69" s="1"/>
  <c r="E14" i="63"/>
  <c r="F14" i="63" s="1"/>
  <c r="AE61" i="64"/>
  <c r="AD61" i="64"/>
  <c r="W43" i="64"/>
  <c r="AA43" i="64" s="1"/>
  <c r="AE160" i="64"/>
  <c r="AD160" i="64"/>
  <c r="S40" i="64"/>
  <c r="Q40" i="64"/>
  <c r="N40" i="64"/>
  <c r="M40" i="64"/>
  <c r="T40" i="64"/>
  <c r="Q165" i="64"/>
  <c r="M165" i="64"/>
  <c r="T165" i="64"/>
  <c r="S165" i="64"/>
  <c r="N165" i="64"/>
  <c r="Q61" i="64"/>
  <c r="M61" i="64"/>
  <c r="N61" i="64"/>
  <c r="T61" i="64"/>
  <c r="S61" i="64"/>
  <c r="AE41" i="64"/>
  <c r="AD41" i="64"/>
  <c r="M138" i="64"/>
  <c r="S138" i="64"/>
  <c r="Q138" i="64"/>
  <c r="T138" i="64"/>
  <c r="N138" i="64"/>
  <c r="N33" i="64"/>
  <c r="M33" i="64"/>
  <c r="S33" i="64"/>
  <c r="Q33" i="64"/>
  <c r="T33" i="64"/>
  <c r="O81" i="64"/>
  <c r="X81" i="64" s="1"/>
  <c r="AB81" i="64" s="1"/>
  <c r="V81" i="64"/>
  <c r="M47" i="64"/>
  <c r="T47" i="64"/>
  <c r="Q47" i="64"/>
  <c r="S47" i="64"/>
  <c r="N47" i="64"/>
  <c r="V69" i="64"/>
  <c r="O69" i="64"/>
  <c r="X69" i="64" s="1"/>
  <c r="AB69" i="64" s="1"/>
  <c r="T151" i="64"/>
  <c r="N151" i="64"/>
  <c r="S151" i="64"/>
  <c r="Q151" i="64"/>
  <c r="M151" i="64"/>
  <c r="N132" i="64"/>
  <c r="M132" i="64"/>
  <c r="T132" i="64"/>
  <c r="S132" i="64"/>
  <c r="Q132" i="64"/>
  <c r="AE138" i="64"/>
  <c r="AD138" i="64"/>
  <c r="Q30" i="64"/>
  <c r="T30" i="64"/>
  <c r="S30" i="64"/>
  <c r="N30" i="64"/>
  <c r="M30" i="64"/>
  <c r="T163" i="64"/>
  <c r="S163" i="64"/>
  <c r="Q163" i="64"/>
  <c r="M163" i="64"/>
  <c r="N163" i="64"/>
  <c r="N62" i="64"/>
  <c r="M62" i="64"/>
  <c r="Q62" i="64"/>
  <c r="T62" i="64"/>
  <c r="S62" i="64"/>
  <c r="AE151" i="64"/>
  <c r="AD151" i="64"/>
  <c r="V103" i="64"/>
  <c r="O103" i="64"/>
  <c r="X103" i="64" s="1"/>
  <c r="AB103" i="64" s="1"/>
  <c r="M127" i="64"/>
  <c r="N127" i="64"/>
  <c r="T127" i="64"/>
  <c r="S127" i="64"/>
  <c r="Q127" i="64"/>
  <c r="T142" i="64"/>
  <c r="S142" i="64"/>
  <c r="Q142" i="64"/>
  <c r="N142" i="64"/>
  <c r="M142" i="64"/>
  <c r="T164" i="64"/>
  <c r="S164" i="64"/>
  <c r="Q164" i="64"/>
  <c r="N164" i="64"/>
  <c r="M164" i="64"/>
  <c r="AE163" i="64"/>
  <c r="AD163" i="64"/>
  <c r="T44" i="64"/>
  <c r="N44" i="64"/>
  <c r="M44" i="64"/>
  <c r="S44" i="64"/>
  <c r="Q44" i="64"/>
  <c r="AE121" i="64"/>
  <c r="AD121" i="64"/>
  <c r="AE137" i="64"/>
  <c r="AD137" i="64"/>
  <c r="AD127" i="64"/>
  <c r="AE127" i="64"/>
  <c r="AE152" i="64"/>
  <c r="AD152" i="64"/>
  <c r="N38" i="64"/>
  <c r="M38" i="64"/>
  <c r="Q38" i="64"/>
  <c r="T38" i="64"/>
  <c r="S38" i="64"/>
  <c r="N172" i="64"/>
  <c r="M172" i="64"/>
  <c r="S172" i="64"/>
  <c r="Q172" i="64"/>
  <c r="T172" i="64"/>
  <c r="AD143" i="64"/>
  <c r="AE143" i="64"/>
  <c r="V65" i="64"/>
  <c r="O65" i="64"/>
  <c r="X65" i="64" s="1"/>
  <c r="AB65" i="64" s="1"/>
  <c r="AE167" i="64"/>
  <c r="AD167" i="64"/>
  <c r="Q141" i="64"/>
  <c r="T141" i="64"/>
  <c r="M141" i="64"/>
  <c r="S141" i="64"/>
  <c r="N141" i="64"/>
  <c r="N173" i="64"/>
  <c r="M173" i="64"/>
  <c r="T173" i="64"/>
  <c r="S173" i="64"/>
  <c r="Q173" i="64"/>
  <c r="M147" i="64"/>
  <c r="Q147" i="64"/>
  <c r="S147" i="64"/>
  <c r="N147" i="64"/>
  <c r="T147" i="64"/>
  <c r="O13" i="65"/>
  <c r="W13" i="65"/>
  <c r="V105" i="64"/>
  <c r="O105" i="64"/>
  <c r="X105" i="64" s="1"/>
  <c r="AB105" i="64" s="1"/>
  <c r="B15" i="65"/>
  <c r="D16" i="65" s="1"/>
  <c r="T96" i="64"/>
  <c r="S96" i="64"/>
  <c r="Q96" i="64"/>
  <c r="N96" i="64"/>
  <c r="M96" i="64"/>
  <c r="AE141" i="64"/>
  <c r="AD141" i="64"/>
  <c r="AE173" i="64"/>
  <c r="AD173" i="64"/>
  <c r="M128" i="64"/>
  <c r="T128" i="64"/>
  <c r="S128" i="64"/>
  <c r="Q128" i="64"/>
  <c r="N128" i="64"/>
  <c r="AE38" i="64"/>
  <c r="AD38" i="64"/>
  <c r="T73" i="64"/>
  <c r="N73" i="64"/>
  <c r="Q73" i="64"/>
  <c r="M73" i="64"/>
  <c r="S73" i="64"/>
  <c r="J10" i="66"/>
  <c r="F13" i="66"/>
  <c r="Q111" i="64"/>
  <c r="N111" i="64"/>
  <c r="M111" i="64"/>
  <c r="T111" i="64"/>
  <c r="S111" i="64"/>
  <c r="AE96" i="64"/>
  <c r="AD96" i="64"/>
  <c r="AE71" i="64"/>
  <c r="AD71" i="64"/>
  <c r="N100" i="64"/>
  <c r="M100" i="64"/>
  <c r="T100" i="64"/>
  <c r="S100" i="64"/>
  <c r="Q100" i="64"/>
  <c r="AE128" i="64"/>
  <c r="AD128" i="64"/>
  <c r="Q155" i="64"/>
  <c r="T155" i="64"/>
  <c r="S155" i="64"/>
  <c r="N155" i="64"/>
  <c r="M155" i="64"/>
  <c r="N107" i="64"/>
  <c r="M107" i="64"/>
  <c r="S107" i="64"/>
  <c r="Q107" i="64"/>
  <c r="T107" i="64"/>
  <c r="AE171" i="64"/>
  <c r="AD171" i="64"/>
  <c r="Q135" i="64"/>
  <c r="M135" i="64"/>
  <c r="T135" i="64"/>
  <c r="S135" i="64"/>
  <c r="N135" i="64"/>
  <c r="AE106" i="64"/>
  <c r="AD106" i="64"/>
  <c r="M101" i="64"/>
  <c r="T101" i="64"/>
  <c r="S101" i="64"/>
  <c r="Q101" i="64"/>
  <c r="N101" i="64"/>
  <c r="S112" i="64"/>
  <c r="Q112" i="64"/>
  <c r="N112" i="64"/>
  <c r="T112" i="64"/>
  <c r="M112" i="64"/>
  <c r="AE136" i="64"/>
  <c r="AD136" i="64"/>
  <c r="M157" i="64"/>
  <c r="N157" i="64"/>
  <c r="Q157" i="64"/>
  <c r="T157" i="64"/>
  <c r="S157" i="64"/>
  <c r="Q119" i="64"/>
  <c r="T119" i="64"/>
  <c r="S119" i="64"/>
  <c r="M119" i="64"/>
  <c r="N119" i="64"/>
  <c r="AE158" i="64"/>
  <c r="AD158" i="64"/>
  <c r="AE73" i="64"/>
  <c r="AD73" i="64"/>
  <c r="AD112" i="64"/>
  <c r="AE112" i="64"/>
  <c r="V50" i="64"/>
  <c r="O50" i="64"/>
  <c r="X50" i="64" s="1"/>
  <c r="AB50" i="64" s="1"/>
  <c r="S60" i="64"/>
  <c r="Q60" i="64"/>
  <c r="T60" i="64"/>
  <c r="N60" i="64"/>
  <c r="M60" i="64"/>
  <c r="Q125" i="64"/>
  <c r="M125" i="64"/>
  <c r="N125" i="64"/>
  <c r="T125" i="64"/>
  <c r="S125" i="64"/>
  <c r="N97" i="64"/>
  <c r="M97" i="64"/>
  <c r="S97" i="64"/>
  <c r="Q97" i="64"/>
  <c r="T97" i="64"/>
  <c r="T110" i="64"/>
  <c r="M110" i="64"/>
  <c r="S110" i="64"/>
  <c r="Q110" i="64"/>
  <c r="N110" i="64"/>
  <c r="AE104" i="64"/>
  <c r="AD104" i="64"/>
  <c r="AE62" i="64"/>
  <c r="AD62" i="64"/>
  <c r="AD108" i="64"/>
  <c r="AE108" i="64"/>
  <c r="T68" i="64"/>
  <c r="Q68" i="64"/>
  <c r="S68" i="64"/>
  <c r="N68" i="64"/>
  <c r="M68" i="64"/>
  <c r="M82" i="64"/>
  <c r="T82" i="64"/>
  <c r="S82" i="64"/>
  <c r="Q82" i="64"/>
  <c r="N82" i="64"/>
  <c r="AE170" i="64"/>
  <c r="AD170" i="64"/>
  <c r="N140" i="64"/>
  <c r="M140" i="64"/>
  <c r="S140" i="64"/>
  <c r="T140" i="64"/>
  <c r="Q140" i="64"/>
  <c r="AE110" i="64"/>
  <c r="AD110" i="64"/>
  <c r="O99" i="64"/>
  <c r="X99" i="64" s="1"/>
  <c r="AB99" i="64" s="1"/>
  <c r="V99" i="64"/>
  <c r="M113" i="64"/>
  <c r="Q113" i="64"/>
  <c r="T113" i="64"/>
  <c r="S113" i="64"/>
  <c r="N113" i="64"/>
  <c r="AD98" i="64"/>
  <c r="AE98" i="64"/>
  <c r="V25" i="64"/>
  <c r="O25" i="64"/>
  <c r="X25" i="64" s="1"/>
  <c r="AB25" i="64" s="1"/>
  <c r="W50" i="64"/>
  <c r="AA50" i="64" s="1"/>
  <c r="N48" i="64"/>
  <c r="M48" i="64"/>
  <c r="S48" i="64"/>
  <c r="Q48" i="64"/>
  <c r="T48" i="64"/>
  <c r="AE119" i="64"/>
  <c r="AD119" i="64"/>
  <c r="AE134" i="64"/>
  <c r="AD134" i="64"/>
  <c r="M67" i="64"/>
  <c r="T67" i="64"/>
  <c r="S67" i="64"/>
  <c r="N67" i="64"/>
  <c r="Q67" i="64"/>
  <c r="N51" i="64"/>
  <c r="M51" i="64"/>
  <c r="T51" i="64"/>
  <c r="S51" i="64"/>
  <c r="Q51" i="64"/>
  <c r="T94" i="64"/>
  <c r="Q94" i="64"/>
  <c r="S94" i="64"/>
  <c r="N94" i="64"/>
  <c r="M94" i="64"/>
  <c r="AD87" i="64"/>
  <c r="AE87" i="64"/>
  <c r="M77" i="64"/>
  <c r="N77" i="64"/>
  <c r="T77" i="64"/>
  <c r="S77" i="64"/>
  <c r="Q77" i="64"/>
  <c r="P93" i="64"/>
  <c r="Y93" i="64" s="1"/>
  <c r="Z93" i="64" s="1"/>
  <c r="O57" i="64"/>
  <c r="X57" i="64" s="1"/>
  <c r="AB57" i="64" s="1"/>
  <c r="AE131" i="64"/>
  <c r="AD131" i="64"/>
  <c r="N102" i="64"/>
  <c r="M102" i="64"/>
  <c r="S102" i="64"/>
  <c r="Q102" i="64"/>
  <c r="T102" i="64"/>
  <c r="AE67" i="64"/>
  <c r="AD67" i="64"/>
  <c r="S130" i="64"/>
  <c r="Q130" i="64"/>
  <c r="N130" i="64"/>
  <c r="M130" i="64"/>
  <c r="T130" i="64"/>
  <c r="N116" i="64"/>
  <c r="T116" i="64"/>
  <c r="M116" i="64"/>
  <c r="Q116" i="64"/>
  <c r="S116" i="64"/>
  <c r="AE91" i="64"/>
  <c r="AD91" i="64"/>
  <c r="V80" i="64"/>
  <c r="O80" i="64"/>
  <c r="X80" i="64" s="1"/>
  <c r="AB80" i="64" s="1"/>
  <c r="V93" i="64"/>
  <c r="P117" i="64"/>
  <c r="Y117" i="64" s="1"/>
  <c r="Z117" i="64" s="1"/>
  <c r="Q55" i="64"/>
  <c r="T55" i="64"/>
  <c r="S55" i="64"/>
  <c r="N55" i="64"/>
  <c r="M55" i="64"/>
  <c r="AD130" i="64"/>
  <c r="AE130" i="64"/>
  <c r="T78" i="64"/>
  <c r="S78" i="64"/>
  <c r="Q78" i="64"/>
  <c r="N78" i="64"/>
  <c r="M78" i="64"/>
  <c r="T84" i="64"/>
  <c r="N84" i="64"/>
  <c r="M84" i="64"/>
  <c r="S84" i="64"/>
  <c r="Q84" i="64"/>
  <c r="O176" i="64"/>
  <c r="X176" i="64" s="1"/>
  <c r="AB176" i="64" s="1"/>
  <c r="V176" i="64"/>
  <c r="V52" i="64"/>
  <c r="O52" i="64"/>
  <c r="X52" i="64" s="1"/>
  <c r="AB52" i="64" s="1"/>
  <c r="M148" i="64"/>
  <c r="T148" i="64"/>
  <c r="S148" i="64"/>
  <c r="Q148" i="64"/>
  <c r="N148" i="64"/>
  <c r="T66" i="64"/>
  <c r="S66" i="64"/>
  <c r="Q66" i="64"/>
  <c r="N66" i="64"/>
  <c r="M66" i="64"/>
  <c r="W90" i="64"/>
  <c r="AA90" i="64" s="1"/>
  <c r="AD161" i="64"/>
  <c r="AE161" i="64"/>
  <c r="AE58" i="64"/>
  <c r="AD58" i="64"/>
  <c r="M46" i="64"/>
  <c r="Q46" i="64"/>
  <c r="T46" i="64"/>
  <c r="S46" i="64"/>
  <c r="N46" i="64"/>
  <c r="T24" i="64"/>
  <c r="N24" i="64"/>
  <c r="M24" i="64"/>
  <c r="S24" i="64"/>
  <c r="Q24" i="64"/>
  <c r="S95" i="64"/>
  <c r="Q95" i="64"/>
  <c r="T95" i="64"/>
  <c r="N95" i="64"/>
  <c r="M95" i="64"/>
  <c r="AE84" i="64"/>
  <c r="AD84" i="64"/>
  <c r="AE148" i="64"/>
  <c r="AD148" i="64"/>
  <c r="O90" i="64"/>
  <c r="X90" i="64" s="1"/>
  <c r="AB90" i="64" s="1"/>
  <c r="V90" i="64"/>
  <c r="K10" i="64"/>
  <c r="L10" i="64" s="1"/>
  <c r="Q10" i="64" s="1"/>
  <c r="J11" i="64"/>
  <c r="Q145" i="64"/>
  <c r="N145" i="64"/>
  <c r="M145" i="64"/>
  <c r="T145" i="64"/>
  <c r="S145" i="64"/>
  <c r="J11" i="66"/>
  <c r="T42" i="64"/>
  <c r="S42" i="64"/>
  <c r="Q42" i="64"/>
  <c r="N42" i="64"/>
  <c r="M42" i="64"/>
  <c r="T19" i="64"/>
  <c r="S19" i="64"/>
  <c r="T124" i="64"/>
  <c r="S124" i="64"/>
  <c r="Q124" i="64"/>
  <c r="N124" i="64"/>
  <c r="M124" i="64"/>
  <c r="AE95" i="64"/>
  <c r="AD95" i="64"/>
  <c r="V39" i="64"/>
  <c r="O39" i="64"/>
  <c r="X39" i="64" s="1"/>
  <c r="AB39" i="64" s="1"/>
  <c r="T16" i="64"/>
  <c r="S16" i="64"/>
  <c r="AE56" i="64"/>
  <c r="AD56" i="64"/>
  <c r="V74" i="64"/>
  <c r="M27" i="64"/>
  <c r="Q27" i="64"/>
  <c r="N27" i="64"/>
  <c r="S27" i="64"/>
  <c r="T27" i="64"/>
  <c r="N126" i="64"/>
  <c r="S126" i="64"/>
  <c r="Q126" i="64"/>
  <c r="M126" i="64"/>
  <c r="T126" i="64"/>
  <c r="O29" i="64"/>
  <c r="X29" i="64" s="1"/>
  <c r="AB29" i="64" s="1"/>
  <c r="Y59" i="64"/>
  <c r="Z59" i="64" s="1"/>
  <c r="N162" i="64"/>
  <c r="S162" i="64"/>
  <c r="Q162" i="64"/>
  <c r="M162" i="64"/>
  <c r="T162" i="64"/>
  <c r="N120" i="64"/>
  <c r="T120" i="64"/>
  <c r="S120" i="64"/>
  <c r="Q120" i="64"/>
  <c r="M120" i="64"/>
  <c r="AE126" i="64"/>
  <c r="AD126" i="64"/>
  <c r="AE168" i="64"/>
  <c r="AD168" i="64"/>
  <c r="S118" i="64"/>
  <c r="Q118" i="64"/>
  <c r="T118" i="64"/>
  <c r="N118" i="64"/>
  <c r="M118" i="64"/>
  <c r="AD53" i="64"/>
  <c r="AE53" i="64"/>
  <c r="W26" i="64"/>
  <c r="AA26" i="64" s="1"/>
  <c r="T54" i="64"/>
  <c r="S54" i="64"/>
  <c r="Q54" i="64"/>
  <c r="N54" i="64"/>
  <c r="M54" i="64"/>
  <c r="W103" i="64"/>
  <c r="AA103" i="64" s="1"/>
  <c r="N146" i="64"/>
  <c r="T146" i="64"/>
  <c r="S146" i="64"/>
  <c r="Q146" i="64"/>
  <c r="M146" i="64"/>
  <c r="T10" i="64"/>
  <c r="S10" i="64"/>
  <c r="G91" i="63" s="1"/>
  <c r="H91" i="63" s="1"/>
  <c r="AD77" i="64"/>
  <c r="AE77" i="64"/>
  <c r="AE146" i="64"/>
  <c r="AD146" i="64"/>
  <c r="AE165" i="64"/>
  <c r="AD165" i="64"/>
  <c r="N166" i="64"/>
  <c r="T166" i="64"/>
  <c r="S166" i="64"/>
  <c r="Q166" i="64"/>
  <c r="M166" i="64"/>
  <c r="M123" i="64"/>
  <c r="N123" i="64"/>
  <c r="S123" i="64"/>
  <c r="T123" i="64"/>
  <c r="Q123" i="64"/>
  <c r="N58" i="64"/>
  <c r="M58" i="64"/>
  <c r="T58" i="64"/>
  <c r="S58" i="64"/>
  <c r="Q58" i="64"/>
  <c r="AE166" i="64"/>
  <c r="AD166" i="64"/>
  <c r="F38" i="67"/>
  <c r="F39" i="67" s="1"/>
  <c r="E11" i="63"/>
  <c r="AE47" i="64"/>
  <c r="AD47" i="64"/>
  <c r="O22" i="64"/>
  <c r="X22" i="64" s="1"/>
  <c r="V22" i="64"/>
  <c r="AE123" i="64"/>
  <c r="AD123" i="64"/>
  <c r="M137" i="64"/>
  <c r="T137" i="64"/>
  <c r="S137" i="64"/>
  <c r="Q137" i="64"/>
  <c r="N137" i="64"/>
  <c r="AE132" i="64"/>
  <c r="AD132" i="64"/>
  <c r="M152" i="64"/>
  <c r="T152" i="64"/>
  <c r="S152" i="64"/>
  <c r="Q152" i="64"/>
  <c r="N152" i="64"/>
  <c r="Q150" i="64"/>
  <c r="N150" i="64"/>
  <c r="M150" i="64"/>
  <c r="S150" i="64"/>
  <c r="T150" i="64"/>
  <c r="O43" i="64"/>
  <c r="X43" i="64" s="1"/>
  <c r="AB43" i="64" s="1"/>
  <c r="N23" i="64"/>
  <c r="M23" i="64"/>
  <c r="Q23" i="64"/>
  <c r="T23" i="64"/>
  <c r="S23" i="64"/>
  <c r="T174" i="64"/>
  <c r="S174" i="64"/>
  <c r="Q174" i="64"/>
  <c r="N174" i="64"/>
  <c r="M174" i="64"/>
  <c r="T143" i="64"/>
  <c r="N143" i="64"/>
  <c r="M143" i="64"/>
  <c r="S143" i="64"/>
  <c r="Q143" i="64"/>
  <c r="M167" i="64"/>
  <c r="Q167" i="64"/>
  <c r="N167" i="64"/>
  <c r="T167" i="64"/>
  <c r="S167" i="64"/>
  <c r="AE142" i="64"/>
  <c r="AD142" i="64"/>
  <c r="AD150" i="64"/>
  <c r="AE150" i="64"/>
  <c r="AE164" i="64"/>
  <c r="AD164" i="64"/>
  <c r="W21" i="64"/>
  <c r="V63" i="64"/>
  <c r="O63" i="64"/>
  <c r="X63" i="64" s="1"/>
  <c r="AB63" i="64" s="1"/>
  <c r="O35" i="64"/>
  <c r="X35" i="64" s="1"/>
  <c r="AB35" i="64" s="1"/>
  <c r="N156" i="64"/>
  <c r="S156" i="64"/>
  <c r="Q156" i="64"/>
  <c r="T156" i="64"/>
  <c r="M156" i="64"/>
  <c r="AE174" i="64"/>
  <c r="AD174" i="64"/>
  <c r="S106" i="64"/>
  <c r="Q106" i="64"/>
  <c r="N106" i="64"/>
  <c r="M106" i="64"/>
  <c r="T106" i="64"/>
  <c r="T115" i="64"/>
  <c r="S115" i="64"/>
  <c r="Q115" i="64"/>
  <c r="N115" i="64"/>
  <c r="M115" i="64"/>
  <c r="T108" i="64"/>
  <c r="S108" i="64"/>
  <c r="Q108" i="64"/>
  <c r="N108" i="64"/>
  <c r="M108" i="64"/>
  <c r="AE172" i="64"/>
  <c r="AD172" i="64"/>
  <c r="AD23" i="64"/>
  <c r="AE23" i="64"/>
  <c r="N133" i="64"/>
  <c r="T133" i="64"/>
  <c r="S133" i="64"/>
  <c r="Q133" i="64"/>
  <c r="M133" i="64"/>
  <c r="AE156" i="64"/>
  <c r="AD156" i="64"/>
  <c r="H114" i="63"/>
  <c r="AE115" i="64"/>
  <c r="AD115" i="64"/>
  <c r="T71" i="64"/>
  <c r="S71" i="64"/>
  <c r="N71" i="64"/>
  <c r="M71" i="64"/>
  <c r="Q71" i="64"/>
  <c r="M153" i="64"/>
  <c r="S153" i="64"/>
  <c r="T153" i="64"/>
  <c r="N153" i="64"/>
  <c r="Q153" i="64"/>
  <c r="AE147" i="64"/>
  <c r="AD147" i="64"/>
  <c r="AE133" i="64"/>
  <c r="AD133" i="64"/>
  <c r="T171" i="64"/>
  <c r="S171" i="64"/>
  <c r="N171" i="64"/>
  <c r="M171" i="64"/>
  <c r="Q171" i="64"/>
  <c r="F14" i="65"/>
  <c r="F36" i="63"/>
  <c r="AE153" i="64"/>
  <c r="AD153" i="64"/>
  <c r="N136" i="64"/>
  <c r="Q136" i="64"/>
  <c r="M136" i="64"/>
  <c r="T136" i="64"/>
  <c r="S136" i="64"/>
  <c r="T144" i="64"/>
  <c r="S144" i="64"/>
  <c r="M144" i="64"/>
  <c r="N144" i="64"/>
  <c r="Q144" i="64"/>
  <c r="M158" i="64"/>
  <c r="T158" i="64"/>
  <c r="S158" i="64"/>
  <c r="N158" i="64"/>
  <c r="Q158" i="64"/>
  <c r="T154" i="64"/>
  <c r="S154" i="64"/>
  <c r="N154" i="64"/>
  <c r="M154" i="64"/>
  <c r="Q154" i="64"/>
  <c r="T18" i="64"/>
  <c r="S18" i="64"/>
  <c r="N83" i="64"/>
  <c r="T83" i="64"/>
  <c r="S83" i="64"/>
  <c r="M83" i="64"/>
  <c r="Q83" i="64"/>
  <c r="Q85" i="64"/>
  <c r="M85" i="64"/>
  <c r="N85" i="64"/>
  <c r="T85" i="64"/>
  <c r="S85" i="64"/>
  <c r="AD144" i="64"/>
  <c r="AE144" i="64"/>
  <c r="S86" i="64"/>
  <c r="Q86" i="64"/>
  <c r="N86" i="64"/>
  <c r="M86" i="64"/>
  <c r="T86" i="64"/>
  <c r="AE154" i="64"/>
  <c r="AD154" i="64"/>
  <c r="AE155" i="64"/>
  <c r="AD155" i="64"/>
  <c r="O26" i="64"/>
  <c r="X26" i="64" s="1"/>
  <c r="AB26" i="64" s="1"/>
  <c r="AE135" i="64"/>
  <c r="AD135" i="64"/>
  <c r="AE101" i="64"/>
  <c r="AD101" i="64"/>
  <c r="N121" i="64"/>
  <c r="M121" i="64"/>
  <c r="Q121" i="64"/>
  <c r="T121" i="64"/>
  <c r="S121" i="64"/>
  <c r="T88" i="64"/>
  <c r="S88" i="64"/>
  <c r="Q88" i="64"/>
  <c r="N88" i="64"/>
  <c r="M88" i="64"/>
  <c r="M122" i="64"/>
  <c r="N122" i="64"/>
  <c r="Q122" i="64"/>
  <c r="S122" i="64"/>
  <c r="T122" i="64"/>
  <c r="AD157" i="64"/>
  <c r="AE157" i="64"/>
  <c r="S170" i="64"/>
  <c r="Q170" i="64"/>
  <c r="T170" i="64"/>
  <c r="N170" i="64"/>
  <c r="M170" i="64"/>
  <c r="N53" i="64"/>
  <c r="M53" i="64"/>
  <c r="T53" i="64"/>
  <c r="S53" i="64"/>
  <c r="Q53" i="64"/>
  <c r="M37" i="64"/>
  <c r="T37" i="64"/>
  <c r="S37" i="64"/>
  <c r="Q37" i="64"/>
  <c r="N37" i="64"/>
  <c r="AE125" i="64"/>
  <c r="AD125" i="64"/>
  <c r="T134" i="64"/>
  <c r="S134" i="64"/>
  <c r="Q134" i="64"/>
  <c r="M134" i="64"/>
  <c r="N134" i="64"/>
  <c r="Q41" i="64"/>
  <c r="S41" i="64"/>
  <c r="N41" i="64"/>
  <c r="M41" i="64"/>
  <c r="T41" i="64"/>
  <c r="T104" i="64"/>
  <c r="S104" i="64"/>
  <c r="Q104" i="64"/>
  <c r="N104" i="64"/>
  <c r="M104" i="64"/>
  <c r="M87" i="64"/>
  <c r="T87" i="64"/>
  <c r="S87" i="64"/>
  <c r="Q87" i="64"/>
  <c r="N87" i="64"/>
  <c r="S98" i="64"/>
  <c r="Q98" i="64"/>
  <c r="T98" i="64"/>
  <c r="N98" i="64"/>
  <c r="M98" i="64"/>
  <c r="V45" i="64"/>
  <c r="O45" i="64"/>
  <c r="X45" i="64" s="1"/>
  <c r="AB45" i="64" s="1"/>
  <c r="E24" i="63"/>
  <c r="F24" i="63" s="1"/>
  <c r="H24" i="63" s="1"/>
  <c r="G35" i="73"/>
  <c r="G36" i="73" s="1"/>
  <c r="N131" i="64"/>
  <c r="M131" i="64"/>
  <c r="T131" i="64"/>
  <c r="S131" i="64"/>
  <c r="Q131" i="64"/>
  <c r="F36" i="68"/>
  <c r="F37" i="68" s="1"/>
  <c r="E12" i="63" s="1"/>
  <c r="F12" i="63" s="1"/>
  <c r="G35" i="68"/>
  <c r="AE140" i="64"/>
  <c r="AD140" i="64"/>
  <c r="AE116" i="64"/>
  <c r="AD116" i="64"/>
  <c r="S91" i="64"/>
  <c r="Q91" i="64"/>
  <c r="T91" i="64"/>
  <c r="N91" i="64"/>
  <c r="M91" i="64"/>
  <c r="AE94" i="64"/>
  <c r="AD94" i="64"/>
  <c r="W80" i="64"/>
  <c r="AA80" i="64" s="1"/>
  <c r="AE113" i="64"/>
  <c r="AD113" i="64"/>
  <c r="S28" i="64"/>
  <c r="T28" i="64"/>
  <c r="Q28" i="64"/>
  <c r="N28" i="64"/>
  <c r="M28" i="64"/>
  <c r="T70" i="64"/>
  <c r="S70" i="64"/>
  <c r="Q70" i="64"/>
  <c r="N70" i="64"/>
  <c r="M70" i="64"/>
  <c r="S76" i="64"/>
  <c r="T76" i="64"/>
  <c r="Q76" i="64"/>
  <c r="N76" i="64"/>
  <c r="M76" i="64"/>
  <c r="S92" i="64"/>
  <c r="Q92" i="64"/>
  <c r="T92" i="64"/>
  <c r="N92" i="64"/>
  <c r="M92" i="64"/>
  <c r="M161" i="64"/>
  <c r="Q161" i="64"/>
  <c r="T161" i="64"/>
  <c r="S161" i="64"/>
  <c r="N161" i="64"/>
  <c r="G36" i="71"/>
  <c r="E47" i="63"/>
  <c r="F47" i="63" s="1"/>
  <c r="T32" i="64"/>
  <c r="S32" i="64"/>
  <c r="Q32" i="64"/>
  <c r="N32" i="64"/>
  <c r="M32" i="64"/>
  <c r="S72" i="64"/>
  <c r="T72" i="64"/>
  <c r="Q72" i="64"/>
  <c r="N72" i="64"/>
  <c r="M72" i="64"/>
  <c r="AD54" i="64"/>
  <c r="AE54" i="64"/>
  <c r="T36" i="64"/>
  <c r="S36" i="64"/>
  <c r="N36" i="64"/>
  <c r="M36" i="64"/>
  <c r="Q36" i="64"/>
  <c r="AE78" i="64"/>
  <c r="AD78" i="64"/>
  <c r="AE66" i="64"/>
  <c r="AD66" i="64"/>
  <c r="V20" i="64"/>
  <c r="O20" i="64"/>
  <c r="X20" i="64" s="1"/>
  <c r="L9" i="64"/>
  <c r="AE145" i="64"/>
  <c r="AD145" i="64"/>
  <c r="AE124" i="64"/>
  <c r="AD124" i="64"/>
  <c r="V79" i="64"/>
  <c r="O79" i="64"/>
  <c r="X79" i="64" s="1"/>
  <c r="AB79" i="64" s="1"/>
  <c r="AE27" i="64"/>
  <c r="AD27" i="64"/>
  <c r="AE162" i="64"/>
  <c r="AD162" i="64"/>
  <c r="AD70" i="64"/>
  <c r="AE70" i="64"/>
  <c r="M168" i="64"/>
  <c r="N168" i="64"/>
  <c r="T168" i="64"/>
  <c r="S168" i="64"/>
  <c r="Q168" i="64"/>
  <c r="N56" i="64"/>
  <c r="M56" i="64"/>
  <c r="Q56" i="64"/>
  <c r="T56" i="64"/>
  <c r="S56" i="64"/>
  <c r="AE44" i="64"/>
  <c r="AD44" i="64"/>
  <c r="Q160" i="64"/>
  <c r="N160" i="64"/>
  <c r="T160" i="64"/>
  <c r="S160" i="64"/>
  <c r="M160" i="64"/>
  <c r="O59" i="64"/>
  <c r="X59" i="64" s="1"/>
  <c r="AB59" i="64" s="1"/>
  <c r="V59" i="64"/>
  <c r="P59" i="64"/>
  <c r="T64" i="64"/>
  <c r="N64" i="64"/>
  <c r="M64" i="64"/>
  <c r="S64" i="64"/>
  <c r="Q64" i="64"/>
  <c r="G37" i="72" l="1"/>
  <c r="E35" i="63"/>
  <c r="F35" i="63" s="1"/>
  <c r="AD13" i="65"/>
  <c r="AE13" i="65"/>
  <c r="AA14" i="65"/>
  <c r="AB14" i="65"/>
  <c r="F15" i="65"/>
  <c r="X75" i="64"/>
  <c r="AB75" i="64" s="1"/>
  <c r="W75" i="64"/>
  <c r="AA75" i="64" s="1"/>
  <c r="P149" i="64"/>
  <c r="Y149" i="64" s="1"/>
  <c r="Z149" i="64" s="1"/>
  <c r="W129" i="64"/>
  <c r="AA129" i="64" s="1"/>
  <c r="W63" i="64"/>
  <c r="AA63" i="64" s="1"/>
  <c r="V49" i="64"/>
  <c r="W105" i="64"/>
  <c r="AA105" i="64" s="1"/>
  <c r="W159" i="64"/>
  <c r="AA159" i="64" s="1"/>
  <c r="O34" i="64"/>
  <c r="O159" i="64"/>
  <c r="X159" i="64" s="1"/>
  <c r="AB159" i="64" s="1"/>
  <c r="V159" i="64"/>
  <c r="P159" i="64"/>
  <c r="Y159" i="64" s="1"/>
  <c r="Z159" i="64" s="1"/>
  <c r="P52" i="64"/>
  <c r="Y52" i="64" s="1"/>
  <c r="Z52" i="64" s="1"/>
  <c r="O169" i="64"/>
  <c r="V169" i="64"/>
  <c r="V31" i="64"/>
  <c r="V129" i="64"/>
  <c r="P43" i="64"/>
  <c r="Y43" i="64" s="1"/>
  <c r="Z43" i="64" s="1"/>
  <c r="O109" i="64"/>
  <c r="X109" i="64" s="1"/>
  <c r="AB109" i="64" s="1"/>
  <c r="V109" i="64"/>
  <c r="V75" i="64"/>
  <c r="P109" i="64"/>
  <c r="Y109" i="64" s="1"/>
  <c r="Z109" i="64" s="1"/>
  <c r="O89" i="64"/>
  <c r="P89" i="64"/>
  <c r="Y89" i="64" s="1"/>
  <c r="Z89" i="64" s="1"/>
  <c r="W69" i="64"/>
  <c r="AA69" i="64" s="1"/>
  <c r="O149" i="64"/>
  <c r="V149" i="64"/>
  <c r="P129" i="64"/>
  <c r="Y129" i="64" s="1"/>
  <c r="Z129" i="64" s="1"/>
  <c r="V114" i="64"/>
  <c r="O114" i="64"/>
  <c r="X114" i="64" s="1"/>
  <c r="AB114" i="64" s="1"/>
  <c r="P114" i="64"/>
  <c r="Y114" i="64" s="1"/>
  <c r="Z114" i="64" s="1"/>
  <c r="V139" i="64"/>
  <c r="O139" i="64"/>
  <c r="X139" i="64" s="1"/>
  <c r="AB139" i="64" s="1"/>
  <c r="P63" i="64"/>
  <c r="Y63" i="64" s="1"/>
  <c r="Z63" i="64" s="1"/>
  <c r="V89" i="64"/>
  <c r="W20" i="64"/>
  <c r="M10" i="64"/>
  <c r="Q13" i="65"/>
  <c r="N10" i="64"/>
  <c r="V10" i="64" s="1"/>
  <c r="F11" i="63"/>
  <c r="H11" i="63" s="1"/>
  <c r="O120" i="64"/>
  <c r="X120" i="64" s="1"/>
  <c r="AB120" i="64" s="1"/>
  <c r="V120" i="64"/>
  <c r="P120" i="64"/>
  <c r="V130" i="64"/>
  <c r="O130" i="64"/>
  <c r="X130" i="64" s="1"/>
  <c r="AB130" i="64" s="1"/>
  <c r="W77" i="64"/>
  <c r="AA77" i="64" s="1"/>
  <c r="Y97" i="64"/>
  <c r="Z97" i="64" s="1"/>
  <c r="Y112" i="64"/>
  <c r="Z112" i="64" s="1"/>
  <c r="V107" i="64"/>
  <c r="O107" i="64"/>
  <c r="X107" i="64" s="1"/>
  <c r="AB107" i="64" s="1"/>
  <c r="V61" i="64"/>
  <c r="O61" i="64"/>
  <c r="X61" i="64" s="1"/>
  <c r="AB61" i="64" s="1"/>
  <c r="V133" i="64"/>
  <c r="O133" i="64"/>
  <c r="X133" i="64" s="1"/>
  <c r="AB133" i="64" s="1"/>
  <c r="P133" i="64"/>
  <c r="Y133" i="64" s="1"/>
  <c r="Z133" i="64" s="1"/>
  <c r="O126" i="64"/>
  <c r="X126" i="64" s="1"/>
  <c r="AB126" i="64" s="1"/>
  <c r="V126" i="64"/>
  <c r="P126" i="64"/>
  <c r="P39" i="64"/>
  <c r="Y39" i="64" s="1"/>
  <c r="Z39" i="64" s="1"/>
  <c r="V55" i="64"/>
  <c r="O55" i="64"/>
  <c r="X55" i="64" s="1"/>
  <c r="AB55" i="64" s="1"/>
  <c r="W155" i="64"/>
  <c r="AA155" i="64" s="1"/>
  <c r="W96" i="64"/>
  <c r="AA96" i="64" s="1"/>
  <c r="O41" i="64"/>
  <c r="X41" i="64" s="1"/>
  <c r="AB41" i="64" s="1"/>
  <c r="V41" i="64"/>
  <c r="P99" i="64"/>
  <c r="Y99" i="64" s="1"/>
  <c r="Z99" i="64" s="1"/>
  <c r="V101" i="64"/>
  <c r="O101" i="64"/>
  <c r="X101" i="64" s="1"/>
  <c r="AB101" i="64" s="1"/>
  <c r="O155" i="64"/>
  <c r="X155" i="64" s="1"/>
  <c r="AB155" i="64" s="1"/>
  <c r="V155" i="64"/>
  <c r="O96" i="64"/>
  <c r="X96" i="64" s="1"/>
  <c r="AB96" i="64" s="1"/>
  <c r="V96" i="64"/>
  <c r="V132" i="64"/>
  <c r="O132" i="64"/>
  <c r="X132" i="64" s="1"/>
  <c r="AB132" i="64" s="1"/>
  <c r="P45" i="64"/>
  <c r="Y45" i="64" s="1"/>
  <c r="Z45" i="64" s="1"/>
  <c r="O136" i="64"/>
  <c r="X136" i="64" s="1"/>
  <c r="AB136" i="64" s="1"/>
  <c r="P136" i="64"/>
  <c r="Y136" i="64" s="1"/>
  <c r="Z136" i="64" s="1"/>
  <c r="V136" i="64"/>
  <c r="W99" i="64"/>
  <c r="AA99" i="64" s="1"/>
  <c r="O97" i="64"/>
  <c r="X97" i="64" s="1"/>
  <c r="AB97" i="64" s="1"/>
  <c r="P97" i="64"/>
  <c r="V97" i="64"/>
  <c r="P65" i="64"/>
  <c r="Y65" i="64" s="1"/>
  <c r="Z65" i="64" s="1"/>
  <c r="V163" i="64"/>
  <c r="O163" i="64"/>
  <c r="X163" i="64" s="1"/>
  <c r="AB163" i="64" s="1"/>
  <c r="P165" i="64"/>
  <c r="Y165" i="64" s="1"/>
  <c r="Z165" i="64" s="1"/>
  <c r="V165" i="64"/>
  <c r="O165" i="64"/>
  <c r="X165" i="64" s="1"/>
  <c r="AB165" i="64" s="1"/>
  <c r="O76" i="64"/>
  <c r="X76" i="64" s="1"/>
  <c r="AB76" i="64" s="1"/>
  <c r="V76" i="64"/>
  <c r="P76" i="64"/>
  <c r="Y76" i="64" s="1"/>
  <c r="Z76" i="64" s="1"/>
  <c r="V119" i="64"/>
  <c r="O119" i="64"/>
  <c r="X119" i="64" s="1"/>
  <c r="AB119" i="64" s="1"/>
  <c r="K10" i="66"/>
  <c r="J13" i="66"/>
  <c r="G28" i="63" s="1"/>
  <c r="H28" i="63" s="1"/>
  <c r="O147" i="64"/>
  <c r="X147" i="64" s="1"/>
  <c r="AB147" i="64" s="1"/>
  <c r="V147" i="64"/>
  <c r="P79" i="64"/>
  <c r="Y79" i="64" s="1"/>
  <c r="Z79" i="64" s="1"/>
  <c r="W98" i="64"/>
  <c r="AA98" i="64" s="1"/>
  <c r="V58" i="64"/>
  <c r="O58" i="64"/>
  <c r="X58" i="64" s="1"/>
  <c r="AB58" i="64" s="1"/>
  <c r="W33" i="64"/>
  <c r="AA33" i="64" s="1"/>
  <c r="E15" i="63"/>
  <c r="H14" i="63"/>
  <c r="O56" i="64"/>
  <c r="X56" i="64" s="1"/>
  <c r="AB56" i="64" s="1"/>
  <c r="V56" i="64"/>
  <c r="O98" i="64"/>
  <c r="X98" i="64" s="1"/>
  <c r="AB98" i="64" s="1"/>
  <c r="V98" i="64"/>
  <c r="O27" i="64"/>
  <c r="X27" i="64" s="1"/>
  <c r="AB27" i="64" s="1"/>
  <c r="P27" i="64"/>
  <c r="V27" i="64"/>
  <c r="V95" i="64"/>
  <c r="O95" i="64"/>
  <c r="X95" i="64" s="1"/>
  <c r="AB95" i="64" s="1"/>
  <c r="P176" i="64"/>
  <c r="Y176" i="64" s="1"/>
  <c r="Z176" i="64" s="1"/>
  <c r="P125" i="64"/>
  <c r="Y125" i="64" s="1"/>
  <c r="Z125" i="64" s="1"/>
  <c r="V125" i="64"/>
  <c r="O125" i="64"/>
  <c r="X125" i="64" s="1"/>
  <c r="AB125" i="64" s="1"/>
  <c r="W165" i="64"/>
  <c r="AA165" i="64" s="1"/>
  <c r="V71" i="64"/>
  <c r="O71" i="64"/>
  <c r="X71" i="64" s="1"/>
  <c r="AB71" i="64" s="1"/>
  <c r="P71" i="64"/>
  <c r="Y71" i="64" s="1"/>
  <c r="Z71" i="64" s="1"/>
  <c r="V108" i="64"/>
  <c r="O108" i="64"/>
  <c r="X108" i="64" s="1"/>
  <c r="AB108" i="64" s="1"/>
  <c r="V54" i="64"/>
  <c r="O54" i="64"/>
  <c r="X54" i="64" s="1"/>
  <c r="AB54" i="64" s="1"/>
  <c r="W176" i="64"/>
  <c r="AA176" i="64" s="1"/>
  <c r="W81" i="64"/>
  <c r="AA81" i="64" s="1"/>
  <c r="AB20" i="64"/>
  <c r="AA20" i="64"/>
  <c r="O85" i="64"/>
  <c r="X85" i="64" s="1"/>
  <c r="AB85" i="64" s="1"/>
  <c r="V85" i="64"/>
  <c r="W102" i="64"/>
  <c r="AA102" i="64" s="1"/>
  <c r="V73" i="64"/>
  <c r="O73" i="64"/>
  <c r="X73" i="64" s="1"/>
  <c r="AB73" i="64" s="1"/>
  <c r="P73" i="64"/>
  <c r="Y73" i="64" s="1"/>
  <c r="Z73" i="64" s="1"/>
  <c r="V44" i="64"/>
  <c r="O44" i="64"/>
  <c r="X44" i="64" s="1"/>
  <c r="AB44" i="64" s="1"/>
  <c r="V127" i="64"/>
  <c r="O127" i="64"/>
  <c r="X127" i="64" s="1"/>
  <c r="AB127" i="64" s="1"/>
  <c r="P127" i="64"/>
  <c r="Y127" i="64" s="1"/>
  <c r="Z127" i="64" s="1"/>
  <c r="W85" i="64"/>
  <c r="AA85" i="64" s="1"/>
  <c r="V23" i="64"/>
  <c r="O23" i="64"/>
  <c r="X23" i="64" s="1"/>
  <c r="O123" i="64"/>
  <c r="X123" i="64" s="1"/>
  <c r="AB123" i="64" s="1"/>
  <c r="V123" i="64"/>
  <c r="V135" i="64"/>
  <c r="O135" i="64"/>
  <c r="X135" i="64" s="1"/>
  <c r="AB135" i="64" s="1"/>
  <c r="O87" i="64"/>
  <c r="X87" i="64" s="1"/>
  <c r="AB87" i="64" s="1"/>
  <c r="V87" i="64"/>
  <c r="V158" i="64"/>
  <c r="O158" i="64"/>
  <c r="X158" i="64" s="1"/>
  <c r="AB158" i="64" s="1"/>
  <c r="P49" i="64"/>
  <c r="Y49" i="64" s="1"/>
  <c r="Z49" i="64" s="1"/>
  <c r="P74" i="64"/>
  <c r="Y74" i="64" s="1"/>
  <c r="Z74" i="64" s="1"/>
  <c r="V60" i="64"/>
  <c r="O60" i="64"/>
  <c r="X60" i="64" s="1"/>
  <c r="AB60" i="64" s="1"/>
  <c r="P105" i="64"/>
  <c r="Y105" i="64" s="1"/>
  <c r="Z105" i="64" s="1"/>
  <c r="O172" i="64"/>
  <c r="X172" i="64" s="1"/>
  <c r="AB172" i="64" s="1"/>
  <c r="V172" i="64"/>
  <c r="P172" i="64"/>
  <c r="Y172" i="64" s="1"/>
  <c r="Z172" i="64" s="1"/>
  <c r="W35" i="64"/>
  <c r="AA35" i="64" s="1"/>
  <c r="V30" i="64"/>
  <c r="O30" i="64"/>
  <c r="X30" i="64" s="1"/>
  <c r="AB30" i="64" s="1"/>
  <c r="P25" i="64"/>
  <c r="Y25" i="64" s="1"/>
  <c r="Z25" i="64" s="1"/>
  <c r="O110" i="64"/>
  <c r="X110" i="64" s="1"/>
  <c r="AB110" i="64" s="1"/>
  <c r="V110" i="64"/>
  <c r="P103" i="64"/>
  <c r="Y103" i="64" s="1"/>
  <c r="Z103" i="64" s="1"/>
  <c r="W29" i="64"/>
  <c r="AA29" i="64" s="1"/>
  <c r="W138" i="64"/>
  <c r="AA138" i="64" s="1"/>
  <c r="O168" i="64"/>
  <c r="X168" i="64" s="1"/>
  <c r="AB168" i="64" s="1"/>
  <c r="V168" i="64"/>
  <c r="Y122" i="64"/>
  <c r="Z122" i="64" s="1"/>
  <c r="V115" i="64"/>
  <c r="O115" i="64"/>
  <c r="X115" i="64" s="1"/>
  <c r="AB115" i="64" s="1"/>
  <c r="W49" i="64"/>
  <c r="AA49" i="64" s="1"/>
  <c r="O100" i="64"/>
  <c r="X100" i="64" s="1"/>
  <c r="AB100" i="64" s="1"/>
  <c r="V100" i="64"/>
  <c r="V128" i="64"/>
  <c r="O128" i="64"/>
  <c r="X128" i="64" s="1"/>
  <c r="AB128" i="64" s="1"/>
  <c r="V173" i="64"/>
  <c r="O173" i="64"/>
  <c r="X173" i="64" s="1"/>
  <c r="AB173" i="64" s="1"/>
  <c r="W74" i="64"/>
  <c r="AA74" i="64" s="1"/>
  <c r="O40" i="64"/>
  <c r="X40" i="64" s="1"/>
  <c r="AB40" i="64" s="1"/>
  <c r="V40" i="64"/>
  <c r="AE9" i="64"/>
  <c r="AD9" i="64"/>
  <c r="N9" i="64"/>
  <c r="M9" i="64"/>
  <c r="Q9" i="64"/>
  <c r="O122" i="64"/>
  <c r="X122" i="64" s="1"/>
  <c r="AB122" i="64" s="1"/>
  <c r="P122" i="64"/>
  <c r="V122" i="64"/>
  <c r="W45" i="64"/>
  <c r="AA45" i="64" s="1"/>
  <c r="V51" i="64"/>
  <c r="O51" i="64"/>
  <c r="X51" i="64" s="1"/>
  <c r="AB51" i="64" s="1"/>
  <c r="P51" i="64"/>
  <c r="Y51" i="64" s="1"/>
  <c r="Z51" i="64" s="1"/>
  <c r="O82" i="64"/>
  <c r="X82" i="64" s="1"/>
  <c r="AB82" i="64" s="1"/>
  <c r="V82" i="64"/>
  <c r="AB21" i="64"/>
  <c r="AA21" i="64"/>
  <c r="P22" i="64"/>
  <c r="Y22" i="64" s="1"/>
  <c r="Z22" i="64" s="1"/>
  <c r="W164" i="64"/>
  <c r="AA164" i="64" s="1"/>
  <c r="W65" i="64"/>
  <c r="AA65" i="64" s="1"/>
  <c r="W59" i="64"/>
  <c r="AA59" i="64" s="1"/>
  <c r="V83" i="64"/>
  <c r="O83" i="64"/>
  <c r="X83" i="64" s="1"/>
  <c r="AB83" i="64" s="1"/>
  <c r="P83" i="64"/>
  <c r="Y83" i="64" s="1"/>
  <c r="Z83" i="64" s="1"/>
  <c r="V67" i="64"/>
  <c r="O67" i="64"/>
  <c r="X67" i="64" s="1"/>
  <c r="AB67" i="64" s="1"/>
  <c r="P67" i="64"/>
  <c r="Y67" i="64" s="1"/>
  <c r="Z67" i="64" s="1"/>
  <c r="P50" i="64"/>
  <c r="Y50" i="64" s="1"/>
  <c r="Z50" i="64" s="1"/>
  <c r="V38" i="64"/>
  <c r="O38" i="64"/>
  <c r="X38" i="64" s="1"/>
  <c r="AB38" i="64" s="1"/>
  <c r="V164" i="64"/>
  <c r="O164" i="64"/>
  <c r="X164" i="64" s="1"/>
  <c r="AB164" i="64" s="1"/>
  <c r="W31" i="64"/>
  <c r="AA31" i="64" s="1"/>
  <c r="V88" i="64"/>
  <c r="O88" i="64"/>
  <c r="X88" i="64" s="1"/>
  <c r="AB88" i="64" s="1"/>
  <c r="P34" i="64"/>
  <c r="Y34" i="64" s="1"/>
  <c r="Z34" i="64" s="1"/>
  <c r="O148" i="64"/>
  <c r="X148" i="64" s="1"/>
  <c r="AB148" i="64" s="1"/>
  <c r="V148" i="64"/>
  <c r="Y77" i="64"/>
  <c r="Z77" i="64" s="1"/>
  <c r="O92" i="64"/>
  <c r="X92" i="64" s="1"/>
  <c r="AB92" i="64" s="1"/>
  <c r="V92" i="64"/>
  <c r="Y120" i="64"/>
  <c r="Z120" i="64" s="1"/>
  <c r="P75" i="64"/>
  <c r="Y75" i="64" s="1"/>
  <c r="Z75" i="64" s="1"/>
  <c r="O160" i="64"/>
  <c r="X160" i="64" s="1"/>
  <c r="AB160" i="64" s="1"/>
  <c r="V160" i="64"/>
  <c r="V131" i="64"/>
  <c r="O131" i="64"/>
  <c r="X131" i="64" s="1"/>
  <c r="AB131" i="64" s="1"/>
  <c r="O106" i="64"/>
  <c r="X106" i="64" s="1"/>
  <c r="AB106" i="64" s="1"/>
  <c r="V106" i="64"/>
  <c r="V174" i="64"/>
  <c r="O174" i="64"/>
  <c r="X174" i="64" s="1"/>
  <c r="AB174" i="64" s="1"/>
  <c r="O152" i="64"/>
  <c r="X152" i="64" s="1"/>
  <c r="AB152" i="64" s="1"/>
  <c r="V152" i="64"/>
  <c r="P152" i="64"/>
  <c r="O146" i="64"/>
  <c r="X146" i="64" s="1"/>
  <c r="AB146" i="64" s="1"/>
  <c r="V146" i="64"/>
  <c r="P146" i="64"/>
  <c r="Y146" i="64" s="1"/>
  <c r="Z146" i="64" s="1"/>
  <c r="W22" i="64"/>
  <c r="O46" i="64"/>
  <c r="X46" i="64" s="1"/>
  <c r="AB46" i="64" s="1"/>
  <c r="V46" i="64"/>
  <c r="P46" i="64"/>
  <c r="Y46" i="64" s="1"/>
  <c r="Z46" i="64" s="1"/>
  <c r="W67" i="64"/>
  <c r="AA67" i="64" s="1"/>
  <c r="O86" i="64"/>
  <c r="X86" i="64" s="1"/>
  <c r="AB86" i="64" s="1"/>
  <c r="V86" i="64"/>
  <c r="V153" i="64"/>
  <c r="O153" i="64"/>
  <c r="X153" i="64" s="1"/>
  <c r="AB153" i="64" s="1"/>
  <c r="P153" i="64"/>
  <c r="Y153" i="64" s="1"/>
  <c r="Z153" i="64" s="1"/>
  <c r="O111" i="64"/>
  <c r="X111" i="64" s="1"/>
  <c r="AB111" i="64" s="1"/>
  <c r="P111" i="64"/>
  <c r="Y111" i="64" s="1"/>
  <c r="Z111" i="64" s="1"/>
  <c r="V111" i="64"/>
  <c r="O142" i="64"/>
  <c r="X142" i="64" s="1"/>
  <c r="AB142" i="64" s="1"/>
  <c r="V142" i="64"/>
  <c r="P81" i="64"/>
  <c r="Y81" i="64" s="1"/>
  <c r="Z81" i="64" s="1"/>
  <c r="W61" i="64"/>
  <c r="AA61" i="64" s="1"/>
  <c r="V32" i="64"/>
  <c r="O32" i="64"/>
  <c r="X32" i="64" s="1"/>
  <c r="AB32" i="64" s="1"/>
  <c r="V53" i="64"/>
  <c r="O53" i="64"/>
  <c r="X53" i="64" s="1"/>
  <c r="AB53" i="64" s="1"/>
  <c r="O91" i="64"/>
  <c r="X91" i="64" s="1"/>
  <c r="AB91" i="64" s="1"/>
  <c r="V91" i="64"/>
  <c r="O170" i="64"/>
  <c r="X170" i="64" s="1"/>
  <c r="AB170" i="64" s="1"/>
  <c r="V170" i="64"/>
  <c r="W58" i="64"/>
  <c r="AA58" i="64" s="1"/>
  <c r="W39" i="64"/>
  <c r="AA39" i="64" s="1"/>
  <c r="O36" i="64"/>
  <c r="X36" i="64" s="1"/>
  <c r="AB36" i="64" s="1"/>
  <c r="P36" i="64"/>
  <c r="Y36" i="64" s="1"/>
  <c r="Z36" i="64" s="1"/>
  <c r="V36" i="64"/>
  <c r="V134" i="64"/>
  <c r="O134" i="64"/>
  <c r="X134" i="64" s="1"/>
  <c r="AB134" i="64" s="1"/>
  <c r="V121" i="64"/>
  <c r="O121" i="64"/>
  <c r="X121" i="64" s="1"/>
  <c r="AB121" i="64" s="1"/>
  <c r="W154" i="64"/>
  <c r="AA154" i="64" s="1"/>
  <c r="O137" i="64"/>
  <c r="X137" i="64" s="1"/>
  <c r="AB137" i="64" s="1"/>
  <c r="V137" i="64"/>
  <c r="V94" i="64"/>
  <c r="O94" i="64"/>
  <c r="X94" i="64" s="1"/>
  <c r="AB94" i="64" s="1"/>
  <c r="V154" i="64"/>
  <c r="O154" i="64"/>
  <c r="X154" i="64" s="1"/>
  <c r="AB154" i="64" s="1"/>
  <c r="V167" i="64"/>
  <c r="O167" i="64"/>
  <c r="X167" i="64" s="1"/>
  <c r="AB167" i="64" s="1"/>
  <c r="V124" i="64"/>
  <c r="O124" i="64"/>
  <c r="X124" i="64" s="1"/>
  <c r="AB124" i="64" s="1"/>
  <c r="O15" i="65"/>
  <c r="V151" i="64"/>
  <c r="O151" i="64"/>
  <c r="X151" i="64" s="1"/>
  <c r="AB151" i="64" s="1"/>
  <c r="P151" i="64"/>
  <c r="Y151" i="64" s="1"/>
  <c r="Z151" i="64" s="1"/>
  <c r="V33" i="64"/>
  <c r="O33" i="64"/>
  <c r="X33" i="64" s="1"/>
  <c r="AB33" i="64" s="1"/>
  <c r="O156" i="64"/>
  <c r="X156" i="64" s="1"/>
  <c r="AB156" i="64" s="1"/>
  <c r="V156" i="64"/>
  <c r="P156" i="64"/>
  <c r="Y156" i="64" s="1"/>
  <c r="Z156" i="64" s="1"/>
  <c r="P31" i="64"/>
  <c r="Y31" i="64" s="1"/>
  <c r="Z31" i="64" s="1"/>
  <c r="Y27" i="64"/>
  <c r="Z27" i="64" s="1"/>
  <c r="V145" i="64"/>
  <c r="O145" i="64"/>
  <c r="X145" i="64" s="1"/>
  <c r="AB145" i="64" s="1"/>
  <c r="V48" i="64"/>
  <c r="O48" i="64"/>
  <c r="X48" i="64" s="1"/>
  <c r="AB48" i="64" s="1"/>
  <c r="W125" i="64"/>
  <c r="AA125" i="64" s="1"/>
  <c r="B16" i="65"/>
  <c r="D17" i="65" s="1"/>
  <c r="W44" i="64"/>
  <c r="AA44" i="64" s="1"/>
  <c r="V138" i="64"/>
  <c r="O138" i="64"/>
  <c r="X138" i="64" s="1"/>
  <c r="AB138" i="64" s="1"/>
  <c r="O64" i="64"/>
  <c r="X64" i="64" s="1"/>
  <c r="AB64" i="64" s="1"/>
  <c r="V64" i="64"/>
  <c r="O14" i="65"/>
  <c r="W14" i="65"/>
  <c r="O161" i="64"/>
  <c r="X161" i="64" s="1"/>
  <c r="AB161" i="64" s="1"/>
  <c r="V161" i="64"/>
  <c r="V70" i="64"/>
  <c r="O70" i="64"/>
  <c r="X70" i="64" s="1"/>
  <c r="AB70" i="64" s="1"/>
  <c r="P35" i="64"/>
  <c r="Y35" i="64" s="1"/>
  <c r="Z35" i="64" s="1"/>
  <c r="O162" i="64"/>
  <c r="X162" i="64" s="1"/>
  <c r="AB162" i="64" s="1"/>
  <c r="V162" i="64"/>
  <c r="J12" i="64"/>
  <c r="K11" i="64"/>
  <c r="L11" i="64" s="1"/>
  <c r="P80" i="64"/>
  <c r="Y80" i="64" s="1"/>
  <c r="Z80" i="64" s="1"/>
  <c r="O102" i="64"/>
  <c r="X102" i="64" s="1"/>
  <c r="AB102" i="64" s="1"/>
  <c r="P102" i="64"/>
  <c r="Y102" i="64" s="1"/>
  <c r="Z102" i="64" s="1"/>
  <c r="V102" i="64"/>
  <c r="V140" i="64"/>
  <c r="O140" i="64"/>
  <c r="X140" i="64" s="1"/>
  <c r="AB140" i="64" s="1"/>
  <c r="P140" i="64"/>
  <c r="Y140" i="64" s="1"/>
  <c r="Z140" i="64" s="1"/>
  <c r="P69" i="64"/>
  <c r="Y69" i="64" s="1"/>
  <c r="Z69" i="64" s="1"/>
  <c r="AE10" i="64"/>
  <c r="AD10" i="64"/>
  <c r="O84" i="64"/>
  <c r="X84" i="64" s="1"/>
  <c r="AB84" i="64" s="1"/>
  <c r="V84" i="64"/>
  <c r="P84" i="64"/>
  <c r="Y84" i="64" s="1"/>
  <c r="Z84" i="64" s="1"/>
  <c r="O66" i="64"/>
  <c r="X66" i="64" s="1"/>
  <c r="AB66" i="64" s="1"/>
  <c r="V66" i="64"/>
  <c r="V37" i="64"/>
  <c r="O37" i="64"/>
  <c r="X37" i="64" s="1"/>
  <c r="AB37" i="64" s="1"/>
  <c r="W83" i="64"/>
  <c r="AA83" i="64" s="1"/>
  <c r="V171" i="64"/>
  <c r="O171" i="64"/>
  <c r="X171" i="64" s="1"/>
  <c r="AB171" i="64" s="1"/>
  <c r="P29" i="64"/>
  <c r="Y29" i="64" s="1"/>
  <c r="Z29" i="64" s="1"/>
  <c r="W51" i="64"/>
  <c r="AA51" i="64" s="1"/>
  <c r="O157" i="64"/>
  <c r="X157" i="64" s="1"/>
  <c r="AB157" i="64" s="1"/>
  <c r="V157" i="64"/>
  <c r="P90" i="64"/>
  <c r="Y90" i="64" s="1"/>
  <c r="Z90" i="64" s="1"/>
  <c r="P57" i="64"/>
  <c r="Y57" i="64" s="1"/>
  <c r="Z57" i="64" s="1"/>
  <c r="V141" i="64"/>
  <c r="O141" i="64"/>
  <c r="X141" i="64" s="1"/>
  <c r="AB141" i="64" s="1"/>
  <c r="O47" i="64"/>
  <c r="X47" i="64" s="1"/>
  <c r="AB47" i="64" s="1"/>
  <c r="V47" i="64"/>
  <c r="O28" i="64"/>
  <c r="X28" i="64" s="1"/>
  <c r="AB28" i="64" s="1"/>
  <c r="V28" i="64"/>
  <c r="Y144" i="64"/>
  <c r="Z144" i="64" s="1"/>
  <c r="V78" i="64"/>
  <c r="O78" i="64"/>
  <c r="X78" i="64" s="1"/>
  <c r="AB78" i="64" s="1"/>
  <c r="V113" i="64"/>
  <c r="O113" i="64"/>
  <c r="X113" i="64" s="1"/>
  <c r="AB113" i="64" s="1"/>
  <c r="P113" i="64"/>
  <c r="Y113" i="64" s="1"/>
  <c r="Z113" i="64" s="1"/>
  <c r="W110" i="64"/>
  <c r="AA110" i="64" s="1"/>
  <c r="W25" i="64"/>
  <c r="AA25" i="64" s="1"/>
  <c r="W38" i="64"/>
  <c r="AA38" i="64" s="1"/>
  <c r="W57" i="64"/>
  <c r="AA57" i="64" s="1"/>
  <c r="O144" i="64"/>
  <c r="X144" i="64" s="1"/>
  <c r="AB144" i="64" s="1"/>
  <c r="V144" i="64"/>
  <c r="P144" i="64"/>
  <c r="V143" i="64"/>
  <c r="O143" i="64"/>
  <c r="X143" i="64" s="1"/>
  <c r="AB143" i="64" s="1"/>
  <c r="V118" i="64"/>
  <c r="O118" i="64"/>
  <c r="X118" i="64" s="1"/>
  <c r="AB118" i="64" s="1"/>
  <c r="P20" i="64"/>
  <c r="Y20" i="64" s="1"/>
  <c r="Z20" i="64" s="1"/>
  <c r="V104" i="64"/>
  <c r="O104" i="64"/>
  <c r="X104" i="64" s="1"/>
  <c r="AB104" i="64" s="1"/>
  <c r="W37" i="64"/>
  <c r="AA37" i="64" s="1"/>
  <c r="V150" i="64"/>
  <c r="O150" i="64"/>
  <c r="X150" i="64" s="1"/>
  <c r="AB150" i="64" s="1"/>
  <c r="W120" i="64"/>
  <c r="AA120" i="64" s="1"/>
  <c r="V24" i="64"/>
  <c r="O24" i="64"/>
  <c r="X24" i="64" s="1"/>
  <c r="AB24" i="64" s="1"/>
  <c r="V72" i="64"/>
  <c r="O72" i="64"/>
  <c r="X72" i="64" s="1"/>
  <c r="AB72" i="64" s="1"/>
  <c r="W52" i="64"/>
  <c r="AA52" i="64" s="1"/>
  <c r="W106" i="64"/>
  <c r="AA106" i="64" s="1"/>
  <c r="O166" i="64"/>
  <c r="X166" i="64" s="1"/>
  <c r="AB166" i="64" s="1"/>
  <c r="P166" i="64"/>
  <c r="Y166" i="64" s="1"/>
  <c r="Z166" i="64" s="1"/>
  <c r="V166" i="64"/>
  <c r="H14" i="65"/>
  <c r="H15" i="65" s="1"/>
  <c r="H16" i="65" s="1"/>
  <c r="H17" i="65" s="1"/>
  <c r="H18" i="65" s="1"/>
  <c r="H19" i="65" s="1"/>
  <c r="H20" i="65" s="1"/>
  <c r="H21" i="65" s="1"/>
  <c r="H22" i="65" s="1"/>
  <c r="H23" i="65" s="1"/>
  <c r="H24" i="65" s="1"/>
  <c r="H25" i="65" s="1"/>
  <c r="H26" i="65" s="1"/>
  <c r="H27" i="65" s="1"/>
  <c r="H28" i="65" s="1"/>
  <c r="H29" i="65" s="1"/>
  <c r="H30" i="65" s="1"/>
  <c r="H31" i="65" s="1"/>
  <c r="H32" i="65" s="1"/>
  <c r="H33" i="65" s="1"/>
  <c r="H34" i="65" s="1"/>
  <c r="H35" i="65" s="1"/>
  <c r="H36" i="65" s="1"/>
  <c r="H37" i="65" s="1"/>
  <c r="H38" i="65" s="1"/>
  <c r="H39" i="65" s="1"/>
  <c r="O116" i="64"/>
  <c r="X116" i="64" s="1"/>
  <c r="AB116" i="64" s="1"/>
  <c r="V116" i="64"/>
  <c r="W79" i="64"/>
  <c r="AA79" i="64" s="1"/>
  <c r="P21" i="64"/>
  <c r="Y21" i="64" s="1"/>
  <c r="Z21" i="64" s="1"/>
  <c r="W86" i="64"/>
  <c r="AA86" i="64" s="1"/>
  <c r="Y152" i="64"/>
  <c r="Z152" i="64" s="1"/>
  <c r="Y126" i="64"/>
  <c r="Z126" i="64" s="1"/>
  <c r="O42" i="64"/>
  <c r="X42" i="64" s="1"/>
  <c r="AB42" i="64" s="1"/>
  <c r="V42" i="64"/>
  <c r="V77" i="64"/>
  <c r="O77" i="64"/>
  <c r="X77" i="64" s="1"/>
  <c r="AB77" i="64" s="1"/>
  <c r="P77" i="64"/>
  <c r="V68" i="64"/>
  <c r="O68" i="64"/>
  <c r="X68" i="64" s="1"/>
  <c r="AB68" i="64" s="1"/>
  <c r="O112" i="64"/>
  <c r="X112" i="64" s="1"/>
  <c r="AB112" i="64" s="1"/>
  <c r="P112" i="64"/>
  <c r="V112" i="64"/>
  <c r="O62" i="64"/>
  <c r="X62" i="64" s="1"/>
  <c r="AB62" i="64" s="1"/>
  <c r="V62" i="64"/>
  <c r="AA15" i="65" l="1"/>
  <c r="AB15" i="65"/>
  <c r="AD14" i="65"/>
  <c r="AE14" i="65"/>
  <c r="AG13" i="65"/>
  <c r="AF13" i="65"/>
  <c r="W15" i="65"/>
  <c r="S13" i="65"/>
  <c r="F16" i="65"/>
  <c r="X169" i="64"/>
  <c r="AB169" i="64" s="1"/>
  <c r="W169" i="64"/>
  <c r="AA169" i="64" s="1"/>
  <c r="W42" i="64"/>
  <c r="AA42" i="64" s="1"/>
  <c r="W116" i="64"/>
  <c r="AA116" i="64" s="1"/>
  <c r="W126" i="64"/>
  <c r="AA126" i="64" s="1"/>
  <c r="W150" i="64"/>
  <c r="AA150" i="64" s="1"/>
  <c r="W158" i="64"/>
  <c r="AA158" i="64" s="1"/>
  <c r="W82" i="64"/>
  <c r="AA82" i="64" s="1"/>
  <c r="W48" i="64"/>
  <c r="AA48" i="64" s="1"/>
  <c r="P66" i="64"/>
  <c r="Y66" i="64" s="1"/>
  <c r="Z66" i="64" s="1"/>
  <c r="W84" i="64"/>
  <c r="AA84" i="64" s="1"/>
  <c r="W66" i="64"/>
  <c r="AA66" i="64" s="1"/>
  <c r="P116" i="64"/>
  <c r="Y116" i="64" s="1"/>
  <c r="Z116" i="64" s="1"/>
  <c r="W92" i="64"/>
  <c r="AA92" i="64" s="1"/>
  <c r="P124" i="64"/>
  <c r="Y124" i="64" s="1"/>
  <c r="Z124" i="64" s="1"/>
  <c r="X149" i="64"/>
  <c r="AB149" i="64" s="1"/>
  <c r="W149" i="64"/>
  <c r="AA149" i="64" s="1"/>
  <c r="X34" i="64"/>
  <c r="AB34" i="64" s="1"/>
  <c r="W34" i="64"/>
  <c r="AA34" i="64" s="1"/>
  <c r="P139" i="64"/>
  <c r="Y139" i="64" s="1"/>
  <c r="Z139" i="64" s="1"/>
  <c r="X89" i="64"/>
  <c r="AB89" i="64" s="1"/>
  <c r="W89" i="64"/>
  <c r="AA89" i="64" s="1"/>
  <c r="W137" i="64"/>
  <c r="AA137" i="64" s="1"/>
  <c r="W71" i="64"/>
  <c r="AA71" i="64" s="1"/>
  <c r="W174" i="64"/>
  <c r="AA174" i="64" s="1"/>
  <c r="W118" i="64"/>
  <c r="AA118" i="64" s="1"/>
  <c r="W139" i="64"/>
  <c r="AA139" i="64" s="1"/>
  <c r="W143" i="64"/>
  <c r="AA143" i="64" s="1"/>
  <c r="W24" i="64"/>
  <c r="AA24" i="64" s="1"/>
  <c r="W140" i="64"/>
  <c r="AA140" i="64" s="1"/>
  <c r="W41" i="64"/>
  <c r="AA41" i="64" s="1"/>
  <c r="W136" i="64"/>
  <c r="AA136" i="64" s="1"/>
  <c r="W133" i="64"/>
  <c r="AA133" i="64" s="1"/>
  <c r="W127" i="64"/>
  <c r="AA127" i="64" s="1"/>
  <c r="W97" i="64"/>
  <c r="AA97" i="64" s="1"/>
  <c r="W28" i="64"/>
  <c r="AA28" i="64" s="1"/>
  <c r="W172" i="64"/>
  <c r="AA172" i="64" s="1"/>
  <c r="P86" i="64"/>
  <c r="Y86" i="64" s="1"/>
  <c r="Z86" i="64" s="1"/>
  <c r="W109" i="64"/>
  <c r="AA109" i="64" s="1"/>
  <c r="W151" i="64"/>
  <c r="AA151" i="64" s="1"/>
  <c r="W60" i="64"/>
  <c r="AA60" i="64" s="1"/>
  <c r="W124" i="64"/>
  <c r="AA124" i="64" s="1"/>
  <c r="P23" i="64"/>
  <c r="Y23" i="64" s="1"/>
  <c r="Z23" i="64" s="1"/>
  <c r="P107" i="64"/>
  <c r="Y107" i="64" s="1"/>
  <c r="Z107" i="64" s="1"/>
  <c r="W114" i="64"/>
  <c r="AA114" i="64" s="1"/>
  <c r="P169" i="64"/>
  <c r="Y169" i="64" s="1"/>
  <c r="Z169" i="64" s="1"/>
  <c r="R13" i="65"/>
  <c r="O10" i="64"/>
  <c r="X10" i="64" s="1"/>
  <c r="Q14" i="65"/>
  <c r="S14" i="65" s="1"/>
  <c r="F15" i="63"/>
  <c r="H15" i="63" s="1"/>
  <c r="P157" i="64"/>
  <c r="Y157" i="64" s="1"/>
  <c r="Z157" i="64" s="1"/>
  <c r="P162" i="64"/>
  <c r="Y162" i="64" s="1"/>
  <c r="Z162" i="64" s="1"/>
  <c r="P147" i="64"/>
  <c r="Y147" i="64" s="1"/>
  <c r="Z147" i="64" s="1"/>
  <c r="P104" i="64"/>
  <c r="Y104" i="64" s="1"/>
  <c r="Z104" i="64" s="1"/>
  <c r="P145" i="64"/>
  <c r="Y145" i="64" s="1"/>
  <c r="Z145" i="64" s="1"/>
  <c r="P94" i="64"/>
  <c r="Y94" i="64" s="1"/>
  <c r="Z94" i="64" s="1"/>
  <c r="W56" i="64"/>
  <c r="AA56" i="64" s="1"/>
  <c r="P164" i="64"/>
  <c r="Y164" i="64" s="1"/>
  <c r="Z164" i="64" s="1"/>
  <c r="W166" i="64"/>
  <c r="AA166" i="64" s="1"/>
  <c r="P132" i="64"/>
  <c r="Y132" i="64" s="1"/>
  <c r="Z132" i="64" s="1"/>
  <c r="W111" i="64"/>
  <c r="AA111" i="64" s="1"/>
  <c r="P173" i="64"/>
  <c r="Y173" i="64" s="1"/>
  <c r="Z173" i="64" s="1"/>
  <c r="P87" i="64"/>
  <c r="Y87" i="64" s="1"/>
  <c r="Z87" i="64" s="1"/>
  <c r="P95" i="64"/>
  <c r="Y95" i="64" s="1"/>
  <c r="Z95" i="64" s="1"/>
  <c r="K13" i="66"/>
  <c r="M10" i="66"/>
  <c r="P62" i="64"/>
  <c r="Y62" i="64" s="1"/>
  <c r="Z62" i="64" s="1"/>
  <c r="P47" i="64"/>
  <c r="Y47" i="64" s="1"/>
  <c r="Z47" i="64" s="1"/>
  <c r="W30" i="64"/>
  <c r="AA30" i="64" s="1"/>
  <c r="W73" i="64"/>
  <c r="AA73" i="64" s="1"/>
  <c r="W95" i="64"/>
  <c r="AA95" i="64" s="1"/>
  <c r="W46" i="64"/>
  <c r="AA46" i="64" s="1"/>
  <c r="AB22" i="64"/>
  <c r="AA22" i="64"/>
  <c r="P168" i="64"/>
  <c r="Y168" i="64" s="1"/>
  <c r="Z168" i="64" s="1"/>
  <c r="P30" i="64"/>
  <c r="Y30" i="64" s="1"/>
  <c r="Z30" i="64" s="1"/>
  <c r="P55" i="64"/>
  <c r="Y55" i="64" s="1"/>
  <c r="Z55" i="64" s="1"/>
  <c r="P171" i="64"/>
  <c r="Y171" i="64" s="1"/>
  <c r="Z171" i="64" s="1"/>
  <c r="P64" i="64"/>
  <c r="Y64" i="64" s="1"/>
  <c r="Z64" i="64" s="1"/>
  <c r="P131" i="64"/>
  <c r="Y131" i="64" s="1"/>
  <c r="Z131" i="64" s="1"/>
  <c r="P92" i="64"/>
  <c r="Y92" i="64" s="1"/>
  <c r="Z92" i="64" s="1"/>
  <c r="P38" i="64"/>
  <c r="Y38" i="64" s="1"/>
  <c r="Z38" i="64" s="1"/>
  <c r="W145" i="64"/>
  <c r="AA145" i="64" s="1"/>
  <c r="P163" i="64"/>
  <c r="Y163" i="64" s="1"/>
  <c r="Z163" i="64" s="1"/>
  <c r="W107" i="64"/>
  <c r="AA107" i="64" s="1"/>
  <c r="P70" i="64"/>
  <c r="Y70" i="64" s="1"/>
  <c r="Z70" i="64" s="1"/>
  <c r="P128" i="64"/>
  <c r="Y128" i="64" s="1"/>
  <c r="Z128" i="64" s="1"/>
  <c r="P135" i="64"/>
  <c r="Y135" i="64" s="1"/>
  <c r="Z135" i="64" s="1"/>
  <c r="P54" i="64"/>
  <c r="Y54" i="64" s="1"/>
  <c r="Z54" i="64" s="1"/>
  <c r="P119" i="64"/>
  <c r="Y119" i="64" s="1"/>
  <c r="Z119" i="64" s="1"/>
  <c r="P53" i="64"/>
  <c r="Y53" i="64" s="1"/>
  <c r="Z53" i="64" s="1"/>
  <c r="W128" i="64"/>
  <c r="AA128" i="64" s="1"/>
  <c r="W141" i="64"/>
  <c r="AA141" i="64" s="1"/>
  <c r="W119" i="64"/>
  <c r="AA119" i="64" s="1"/>
  <c r="W94" i="64"/>
  <c r="AA94" i="64" s="1"/>
  <c r="P96" i="64"/>
  <c r="Y96" i="64" s="1"/>
  <c r="Z96" i="64" s="1"/>
  <c r="W131" i="64"/>
  <c r="AA131" i="64" s="1"/>
  <c r="P138" i="64"/>
  <c r="Y138" i="64" s="1"/>
  <c r="Z138" i="64" s="1"/>
  <c r="W53" i="64"/>
  <c r="AA53" i="64" s="1"/>
  <c r="W173" i="64"/>
  <c r="AA173" i="64" s="1"/>
  <c r="P118" i="64"/>
  <c r="Y118" i="64" s="1"/>
  <c r="Z118" i="64" s="1"/>
  <c r="P141" i="64"/>
  <c r="Y141" i="64" s="1"/>
  <c r="Z141" i="64" s="1"/>
  <c r="P37" i="64"/>
  <c r="Y37" i="64" s="1"/>
  <c r="Z37" i="64" s="1"/>
  <c r="W64" i="64"/>
  <c r="AA64" i="64" s="1"/>
  <c r="W100" i="64"/>
  <c r="AA100" i="64" s="1"/>
  <c r="P123" i="64"/>
  <c r="Y123" i="64" s="1"/>
  <c r="Z123" i="64" s="1"/>
  <c r="W162" i="64"/>
  <c r="AA162" i="64" s="1"/>
  <c r="W10" i="64"/>
  <c r="P72" i="64"/>
  <c r="Y72" i="64" s="1"/>
  <c r="Z72" i="64" s="1"/>
  <c r="P78" i="64"/>
  <c r="Y78" i="64" s="1"/>
  <c r="Z78" i="64" s="1"/>
  <c r="P161" i="64"/>
  <c r="Y161" i="64" s="1"/>
  <c r="Z161" i="64" s="1"/>
  <c r="P170" i="64"/>
  <c r="Y170" i="64" s="1"/>
  <c r="Z170" i="64" s="1"/>
  <c r="P32" i="64"/>
  <c r="Y32" i="64" s="1"/>
  <c r="Z32" i="64" s="1"/>
  <c r="P160" i="64"/>
  <c r="Y160" i="64" s="1"/>
  <c r="Z160" i="64" s="1"/>
  <c r="O9" i="64"/>
  <c r="P9" i="64" s="1"/>
  <c r="V9" i="64"/>
  <c r="P100" i="64"/>
  <c r="Y100" i="64" s="1"/>
  <c r="Z100" i="64" s="1"/>
  <c r="W27" i="64"/>
  <c r="AA27" i="64" s="1"/>
  <c r="W54" i="64"/>
  <c r="AA54" i="64" s="1"/>
  <c r="P58" i="64"/>
  <c r="Y58" i="64" s="1"/>
  <c r="Z58" i="64" s="1"/>
  <c r="P130" i="64"/>
  <c r="Y130" i="64" s="1"/>
  <c r="Z130" i="64" s="1"/>
  <c r="P68" i="64"/>
  <c r="Y68" i="64" s="1"/>
  <c r="Z68" i="64" s="1"/>
  <c r="W157" i="64"/>
  <c r="AA157" i="64" s="1"/>
  <c r="W40" i="64"/>
  <c r="AA40" i="64" s="1"/>
  <c r="P33" i="64"/>
  <c r="Y33" i="64" s="1"/>
  <c r="Z33" i="64" s="1"/>
  <c r="P137" i="64"/>
  <c r="Y137" i="64" s="1"/>
  <c r="Z137" i="64" s="1"/>
  <c r="W47" i="64"/>
  <c r="AA47" i="64" s="1"/>
  <c r="P148" i="64"/>
  <c r="Y148" i="64" s="1"/>
  <c r="Z148" i="64" s="1"/>
  <c r="W135" i="64"/>
  <c r="AA135" i="64" s="1"/>
  <c r="P60" i="64"/>
  <c r="Y60" i="64" s="1"/>
  <c r="Z60" i="64" s="1"/>
  <c r="P108" i="64"/>
  <c r="Y108" i="64" s="1"/>
  <c r="Z108" i="64" s="1"/>
  <c r="P155" i="64"/>
  <c r="Y155" i="64" s="1"/>
  <c r="Z155" i="64" s="1"/>
  <c r="W146" i="64"/>
  <c r="AA146" i="64" s="1"/>
  <c r="W147" i="64"/>
  <c r="AA147" i="64" s="1"/>
  <c r="P167" i="64"/>
  <c r="Y167" i="64" s="1"/>
  <c r="Z167" i="64" s="1"/>
  <c r="W23" i="64"/>
  <c r="W153" i="64"/>
  <c r="AA153" i="64" s="1"/>
  <c r="W55" i="64"/>
  <c r="AA55" i="64" s="1"/>
  <c r="P24" i="64"/>
  <c r="Y24" i="64" s="1"/>
  <c r="Z24" i="64" s="1"/>
  <c r="P143" i="64"/>
  <c r="Y143" i="64" s="1"/>
  <c r="Z143" i="64" s="1"/>
  <c r="W78" i="64"/>
  <c r="AA78" i="64" s="1"/>
  <c r="W167" i="64"/>
  <c r="AA167" i="64" s="1"/>
  <c r="P110" i="64"/>
  <c r="Y110" i="64" s="1"/>
  <c r="Z110" i="64" s="1"/>
  <c r="W108" i="64"/>
  <c r="AA108" i="64" s="1"/>
  <c r="W121" i="64"/>
  <c r="AA121" i="64" s="1"/>
  <c r="P101" i="64"/>
  <c r="Y101" i="64" s="1"/>
  <c r="Z101" i="64" s="1"/>
  <c r="W148" i="64"/>
  <c r="AA148" i="64" s="1"/>
  <c r="W122" i="64"/>
  <c r="AA122" i="64" s="1"/>
  <c r="B17" i="65"/>
  <c r="D18" i="65" s="1"/>
  <c r="F17" i="65"/>
  <c r="P91" i="64"/>
  <c r="Y91" i="64" s="1"/>
  <c r="Z91" i="64" s="1"/>
  <c r="W132" i="64"/>
  <c r="AA132" i="64" s="1"/>
  <c r="P174" i="64"/>
  <c r="Y174" i="64" s="1"/>
  <c r="Z174" i="64" s="1"/>
  <c r="W87" i="64"/>
  <c r="AA87" i="64" s="1"/>
  <c r="P121" i="64"/>
  <c r="Y121" i="64" s="1"/>
  <c r="Z121" i="64" s="1"/>
  <c r="W156" i="64"/>
  <c r="AA156" i="64" s="1"/>
  <c r="P85" i="64"/>
  <c r="Y85" i="64" s="1"/>
  <c r="Z85" i="64" s="1"/>
  <c r="W32" i="64"/>
  <c r="AA32" i="64" s="1"/>
  <c r="W130" i="64"/>
  <c r="AA130" i="64" s="1"/>
  <c r="P154" i="64"/>
  <c r="Y154" i="64" s="1"/>
  <c r="Z154" i="64" s="1"/>
  <c r="W170" i="64"/>
  <c r="AA170" i="64" s="1"/>
  <c r="P82" i="64"/>
  <c r="Y82" i="64" s="1"/>
  <c r="Z82" i="64" s="1"/>
  <c r="W123" i="64"/>
  <c r="AA123" i="64" s="1"/>
  <c r="W70" i="64"/>
  <c r="AA70" i="64" s="1"/>
  <c r="W152" i="64"/>
  <c r="AA152" i="64" s="1"/>
  <c r="P150" i="64"/>
  <c r="Y150" i="64" s="1"/>
  <c r="Z150" i="64" s="1"/>
  <c r="W161" i="64"/>
  <c r="AA161" i="64" s="1"/>
  <c r="AE11" i="64"/>
  <c r="AD11" i="64"/>
  <c r="Q11" i="64"/>
  <c r="M11" i="64"/>
  <c r="N11" i="64"/>
  <c r="P48" i="64"/>
  <c r="Y48" i="64" s="1"/>
  <c r="Z48" i="64" s="1"/>
  <c r="P134" i="64"/>
  <c r="Y134" i="64" s="1"/>
  <c r="Z134" i="64" s="1"/>
  <c r="W91" i="64"/>
  <c r="AA91" i="64" s="1"/>
  <c r="P142" i="64"/>
  <c r="Y142" i="64" s="1"/>
  <c r="Z142" i="64" s="1"/>
  <c r="W62" i="64"/>
  <c r="AA62" i="64" s="1"/>
  <c r="W112" i="64"/>
  <c r="AA112" i="64" s="1"/>
  <c r="P88" i="64"/>
  <c r="Y88" i="64" s="1"/>
  <c r="Z88" i="64" s="1"/>
  <c r="W101" i="64"/>
  <c r="AA101" i="64" s="1"/>
  <c r="P98" i="64"/>
  <c r="Y98" i="64" s="1"/>
  <c r="Z98" i="64" s="1"/>
  <c r="W36" i="64"/>
  <c r="AA36" i="64" s="1"/>
  <c r="W88" i="64"/>
  <c r="AA88" i="64" s="1"/>
  <c r="P28" i="64"/>
  <c r="Y28" i="64" s="1"/>
  <c r="Z28" i="64" s="1"/>
  <c r="W168" i="64"/>
  <c r="AA168" i="64" s="1"/>
  <c r="K12" i="64"/>
  <c r="J13" i="64"/>
  <c r="W134" i="64"/>
  <c r="AA134" i="64" s="1"/>
  <c r="W76" i="64"/>
  <c r="AA76" i="64" s="1"/>
  <c r="W68" i="64"/>
  <c r="AA68" i="64" s="1"/>
  <c r="P106" i="64"/>
  <c r="Y106" i="64" s="1"/>
  <c r="Z106" i="64" s="1"/>
  <c r="W72" i="64"/>
  <c r="AA72" i="64" s="1"/>
  <c r="W115" i="64"/>
  <c r="AA115" i="64" s="1"/>
  <c r="P44" i="64"/>
  <c r="Y44" i="64" s="1"/>
  <c r="Z44" i="64" s="1"/>
  <c r="W163" i="64"/>
  <c r="AA163" i="64" s="1"/>
  <c r="P61" i="64"/>
  <c r="Y61" i="64" s="1"/>
  <c r="Z61" i="64" s="1"/>
  <c r="P42" i="64"/>
  <c r="Y42" i="64" s="1"/>
  <c r="Z42" i="64" s="1"/>
  <c r="W144" i="64"/>
  <c r="AA144" i="64" s="1"/>
  <c r="W104" i="64"/>
  <c r="AA104" i="64" s="1"/>
  <c r="W113" i="64"/>
  <c r="AA113" i="64" s="1"/>
  <c r="W160" i="64"/>
  <c r="AA160" i="64" s="1"/>
  <c r="P40" i="64"/>
  <c r="Y40" i="64" s="1"/>
  <c r="Z40" i="64" s="1"/>
  <c r="P115" i="64"/>
  <c r="Y115" i="64" s="1"/>
  <c r="Z115" i="64" s="1"/>
  <c r="W171" i="64"/>
  <c r="AA171" i="64" s="1"/>
  <c r="P158" i="64"/>
  <c r="Y158" i="64" s="1"/>
  <c r="Z158" i="64" s="1"/>
  <c r="P56" i="64"/>
  <c r="Y56" i="64" s="1"/>
  <c r="Z56" i="64" s="1"/>
  <c r="P41" i="64"/>
  <c r="Y41" i="64" s="1"/>
  <c r="Z41" i="64" s="1"/>
  <c r="W142" i="64"/>
  <c r="AA142" i="64" s="1"/>
  <c r="AA17" i="65" l="1"/>
  <c r="AB17" i="65"/>
  <c r="AA16" i="65"/>
  <c r="AB16" i="65"/>
  <c r="AD15" i="65"/>
  <c r="AE15" i="65"/>
  <c r="AF14" i="65"/>
  <c r="AG14" i="65"/>
  <c r="W16" i="65"/>
  <c r="O16" i="65"/>
  <c r="P10" i="64"/>
  <c r="Y10" i="64" s="1"/>
  <c r="Z10" i="64" s="1"/>
  <c r="R14" i="65"/>
  <c r="W9" i="64"/>
  <c r="AB9" i="64" s="1"/>
  <c r="Y9" i="64"/>
  <c r="AB10" i="64"/>
  <c r="AA10" i="64"/>
  <c r="Q15" i="65"/>
  <c r="N10" i="66"/>
  <c r="N13" i="66" s="1"/>
  <c r="G33" i="63" s="1"/>
  <c r="M13" i="66"/>
  <c r="G32" i="63" s="1"/>
  <c r="J14" i="64"/>
  <c r="K13" i="64"/>
  <c r="L13" i="64" s="1"/>
  <c r="V11" i="64"/>
  <c r="O11" i="64"/>
  <c r="X11" i="64" s="1"/>
  <c r="O17" i="65"/>
  <c r="W17" i="65"/>
  <c r="B18" i="65"/>
  <c r="D19" i="65" s="1"/>
  <c r="B19" i="65" s="1"/>
  <c r="AB23" i="64"/>
  <c r="AA23" i="64"/>
  <c r="X9" i="64"/>
  <c r="L12" i="64"/>
  <c r="H33" i="63" l="1"/>
  <c r="G243" i="16"/>
  <c r="K243" i="16" s="1"/>
  <c r="H32" i="63"/>
  <c r="G242" i="16"/>
  <c r="K242" i="16" s="1"/>
  <c r="K278" i="16" s="1"/>
  <c r="AF15" i="65"/>
  <c r="AG15" i="65"/>
  <c r="AD16" i="65"/>
  <c r="AE16" i="65"/>
  <c r="AD17" i="65"/>
  <c r="AE17" i="65"/>
  <c r="F18" i="65"/>
  <c r="O18" i="65" s="1"/>
  <c r="W11" i="64"/>
  <c r="AB11" i="64" s="1"/>
  <c r="AA9" i="64"/>
  <c r="AE12" i="64"/>
  <c r="AD12" i="64"/>
  <c r="Q12" i="64"/>
  <c r="N12" i="64"/>
  <c r="M12" i="64"/>
  <c r="K14" i="64"/>
  <c r="J15" i="64"/>
  <c r="R15" i="65"/>
  <c r="S15" i="65"/>
  <c r="Q16" i="65"/>
  <c r="P11" i="64"/>
  <c r="D20" i="65"/>
  <c r="B20" i="65" s="1"/>
  <c r="Z9" i="64"/>
  <c r="AE13" i="64"/>
  <c r="AD13" i="64"/>
  <c r="Q13" i="64"/>
  <c r="N13" i="64"/>
  <c r="M13" i="64"/>
  <c r="H39" i="58" l="1"/>
  <c r="D36" i="26"/>
  <c r="W18" i="65"/>
  <c r="AA18" i="65"/>
  <c r="AB18" i="65"/>
  <c r="AF17" i="65"/>
  <c r="AG17" i="65"/>
  <c r="AG16" i="65"/>
  <c r="AF16" i="65"/>
  <c r="F19" i="65"/>
  <c r="AA11" i="64"/>
  <c r="O13" i="64"/>
  <c r="X13" i="64" s="1"/>
  <c r="V13" i="64"/>
  <c r="V12" i="64"/>
  <c r="O12" i="64"/>
  <c r="W12" i="64" s="1"/>
  <c r="Y11" i="64"/>
  <c r="J16" i="64"/>
  <c r="K15" i="64"/>
  <c r="S16" i="65"/>
  <c r="R16" i="65"/>
  <c r="D21" i="65"/>
  <c r="B21" i="65" s="1"/>
  <c r="Q17" i="65"/>
  <c r="L14" i="64"/>
  <c r="V36" i="26" l="1"/>
  <c r="D63" i="26"/>
  <c r="X36" i="26"/>
  <c r="AA19" i="65"/>
  <c r="AB19" i="65"/>
  <c r="AD18" i="65"/>
  <c r="AE18" i="65"/>
  <c r="O19" i="65"/>
  <c r="W19" i="65"/>
  <c r="F20" i="65"/>
  <c r="P13" i="64"/>
  <c r="Y13" i="64" s="1"/>
  <c r="Z13" i="64" s="1"/>
  <c r="AB12" i="64"/>
  <c r="AA12" i="64"/>
  <c r="Z11" i="64"/>
  <c r="W13" i="64"/>
  <c r="AE14" i="64"/>
  <c r="AD14" i="64"/>
  <c r="Q14" i="64"/>
  <c r="N14" i="64"/>
  <c r="M14" i="64"/>
  <c r="X12" i="64"/>
  <c r="S17" i="65"/>
  <c r="R17" i="65"/>
  <c r="P12" i="64"/>
  <c r="L15" i="64"/>
  <c r="K16" i="64"/>
  <c r="J17" i="64"/>
  <c r="Q18" i="65"/>
  <c r="D22" i="65"/>
  <c r="B22" i="65" s="1"/>
  <c r="V63" i="26" l="1"/>
  <c r="X63" i="26"/>
  <c r="P63" i="26"/>
  <c r="J63" i="26"/>
  <c r="L63" i="26"/>
  <c r="T63" i="26"/>
  <c r="N63" i="26"/>
  <c r="R63" i="26"/>
  <c r="F63" i="26"/>
  <c r="H63" i="26"/>
  <c r="AA20" i="65"/>
  <c r="AB20" i="65"/>
  <c r="AF18" i="65"/>
  <c r="AG18" i="65"/>
  <c r="AD19" i="65"/>
  <c r="AE19" i="65"/>
  <c r="Q20" i="65"/>
  <c r="W20" i="65"/>
  <c r="O20" i="65"/>
  <c r="F21" i="65"/>
  <c r="Q19" i="65"/>
  <c r="Y12" i="64"/>
  <c r="AE15" i="64"/>
  <c r="AD15" i="64"/>
  <c r="N15" i="64"/>
  <c r="M15" i="64"/>
  <c r="Q15" i="64"/>
  <c r="O14" i="64"/>
  <c r="W14" i="64" s="1"/>
  <c r="V14" i="64"/>
  <c r="K17" i="64"/>
  <c r="L17" i="64" s="1"/>
  <c r="J18" i="64"/>
  <c r="L16" i="64"/>
  <c r="AB13" i="64"/>
  <c r="AA13" i="64"/>
  <c r="D23" i="65"/>
  <c r="B23" i="65" s="1"/>
  <c r="S20" i="65"/>
  <c r="R20" i="65"/>
  <c r="S18" i="65"/>
  <c r="R18" i="65"/>
  <c r="AD63" i="26" l="1"/>
  <c r="AE63" i="26" s="1"/>
  <c r="AA21" i="65"/>
  <c r="AB21" i="65"/>
  <c r="AG19" i="65"/>
  <c r="AF19" i="65"/>
  <c r="AD20" i="65"/>
  <c r="AE20" i="65"/>
  <c r="W21" i="65"/>
  <c r="O21" i="65"/>
  <c r="Q21" i="65"/>
  <c r="S21" i="65" s="1"/>
  <c r="AE17" i="64"/>
  <c r="AD17" i="64"/>
  <c r="Q17" i="64"/>
  <c r="N17" i="64"/>
  <c r="M17" i="64"/>
  <c r="AA14" i="64"/>
  <c r="AB14" i="64"/>
  <c r="V15" i="64"/>
  <c r="O15" i="64"/>
  <c r="X15" i="64" s="1"/>
  <c r="AD16" i="64"/>
  <c r="AE16" i="64"/>
  <c r="M16" i="64"/>
  <c r="Q16" i="64"/>
  <c r="N16" i="64"/>
  <c r="K18" i="64"/>
  <c r="J19" i="64"/>
  <c r="K19" i="64" s="1"/>
  <c r="Z12" i="64"/>
  <c r="S19" i="65"/>
  <c r="R19" i="65"/>
  <c r="D24" i="65"/>
  <c r="B24" i="65" s="1"/>
  <c r="F22" i="65"/>
  <c r="X14" i="64"/>
  <c r="P14" i="64"/>
  <c r="AG20" i="65" l="1"/>
  <c r="AF20" i="65"/>
  <c r="AA22" i="65"/>
  <c r="AB22" i="65"/>
  <c r="AD21" i="65"/>
  <c r="AE21" i="65"/>
  <c r="R21" i="65"/>
  <c r="W15" i="64"/>
  <c r="AA15" i="64" s="1"/>
  <c r="Y14" i="64"/>
  <c r="L19" i="64"/>
  <c r="G107" i="63"/>
  <c r="H107" i="63" s="1"/>
  <c r="L18" i="64"/>
  <c r="W22" i="65"/>
  <c r="Q22" i="65"/>
  <c r="O22" i="65"/>
  <c r="O16" i="64"/>
  <c r="P16" i="64" s="1"/>
  <c r="Y16" i="64" s="1"/>
  <c r="Z16" i="64" s="1"/>
  <c r="V16" i="64"/>
  <c r="D25" i="65"/>
  <c r="B25" i="65" s="1"/>
  <c r="F23" i="65"/>
  <c r="V17" i="64"/>
  <c r="O17" i="64"/>
  <c r="X17" i="64" s="1"/>
  <c r="P15" i="64"/>
  <c r="Y15" i="64" s="1"/>
  <c r="Z15" i="64" s="1"/>
  <c r="AA23" i="65" l="1"/>
  <c r="AB23" i="65"/>
  <c r="AF21" i="65"/>
  <c r="AG21" i="65"/>
  <c r="AD22" i="65"/>
  <c r="AE22" i="65"/>
  <c r="W16" i="64"/>
  <c r="AA16" i="64" s="1"/>
  <c r="AB15" i="64"/>
  <c r="Z14" i="64"/>
  <c r="W17" i="64"/>
  <c r="J13" i="65"/>
  <c r="T13" i="65" s="1"/>
  <c r="L14" i="65"/>
  <c r="N13" i="65"/>
  <c r="P17" i="64"/>
  <c r="Y17" i="64" s="1"/>
  <c r="Z17" i="64" s="1"/>
  <c r="W23" i="65"/>
  <c r="Q23" i="65"/>
  <c r="O23" i="65"/>
  <c r="R22" i="65"/>
  <c r="S22" i="65"/>
  <c r="D26" i="65"/>
  <c r="B26" i="65" s="1"/>
  <c r="F24" i="65"/>
  <c r="AE18" i="64"/>
  <c r="AD18" i="64"/>
  <c r="Q18" i="64"/>
  <c r="M18" i="64"/>
  <c r="N18" i="64"/>
  <c r="F182" i="64"/>
  <c r="Q180" i="64"/>
  <c r="F180" i="64"/>
  <c r="Q182" i="64"/>
  <c r="AD19" i="64"/>
  <c r="AE19" i="64"/>
  <c r="G92" i="63" s="1"/>
  <c r="H92" i="63" s="1"/>
  <c r="M19" i="64"/>
  <c r="Q19" i="64"/>
  <c r="N19" i="64"/>
  <c r="X16" i="64"/>
  <c r="AA24" i="65" l="1"/>
  <c r="AB24" i="65"/>
  <c r="AF22" i="65"/>
  <c r="AG22" i="65"/>
  <c r="AD23" i="65"/>
  <c r="AE23" i="65"/>
  <c r="AB16" i="64"/>
  <c r="V19" i="64"/>
  <c r="O19" i="64"/>
  <c r="W19" i="64" s="1"/>
  <c r="S23" i="65"/>
  <c r="R23" i="65"/>
  <c r="V18" i="64"/>
  <c r="O18" i="64"/>
  <c r="X18" i="64" s="1"/>
  <c r="F181" i="64"/>
  <c r="O24" i="65"/>
  <c r="Q24" i="65"/>
  <c r="W24" i="65"/>
  <c r="L15" i="65"/>
  <c r="J14" i="65"/>
  <c r="T14" i="65" s="1"/>
  <c r="N14" i="65"/>
  <c r="P14" i="65" s="1"/>
  <c r="P13" i="65"/>
  <c r="G82" i="63"/>
  <c r="H82" i="63" s="1"/>
  <c r="D27" i="65"/>
  <c r="B27" i="65" s="1"/>
  <c r="V13" i="65"/>
  <c r="U13" i="65"/>
  <c r="Q181" i="64"/>
  <c r="F25" i="65"/>
  <c r="AB17" i="64"/>
  <c r="AA17" i="64"/>
  <c r="AD24" i="65" l="1"/>
  <c r="AE24" i="65"/>
  <c r="AA25" i="65"/>
  <c r="AB25" i="65"/>
  <c r="AF23" i="65"/>
  <c r="AG23" i="65"/>
  <c r="F26" i="65"/>
  <c r="O26" i="65" s="1"/>
  <c r="W18" i="64"/>
  <c r="AA18" i="64" s="1"/>
  <c r="AB19" i="64"/>
  <c r="AA19" i="64"/>
  <c r="G86" i="63"/>
  <c r="W26" i="65"/>
  <c r="Q26" i="65"/>
  <c r="D28" i="65"/>
  <c r="F27" i="65"/>
  <c r="P18" i="64"/>
  <c r="Y18" i="64" s="1"/>
  <c r="Z18" i="64" s="1"/>
  <c r="U14" i="65"/>
  <c r="V14" i="65"/>
  <c r="L16" i="65"/>
  <c r="J15" i="65"/>
  <c r="T15" i="65" s="1"/>
  <c r="N15" i="65"/>
  <c r="O25" i="65"/>
  <c r="W25" i="65"/>
  <c r="Q25" i="65"/>
  <c r="X19" i="64"/>
  <c r="P19" i="64"/>
  <c r="R24" i="65"/>
  <c r="S24" i="65"/>
  <c r="G85" i="63"/>
  <c r="H85" i="63" s="1"/>
  <c r="AA26" i="65" l="1"/>
  <c r="AB26" i="65"/>
  <c r="AD25" i="65"/>
  <c r="AE25" i="65"/>
  <c r="AA27" i="65"/>
  <c r="AB27" i="65"/>
  <c r="AE27" i="65" s="1"/>
  <c r="AF24" i="65"/>
  <c r="AG24" i="65"/>
  <c r="AB18" i="64"/>
  <c r="Y19" i="64"/>
  <c r="R25" i="65"/>
  <c r="S25" i="65"/>
  <c r="P15" i="65"/>
  <c r="S26" i="65"/>
  <c r="R26" i="65"/>
  <c r="V15" i="65"/>
  <c r="U15" i="65"/>
  <c r="L17" i="65"/>
  <c r="J16" i="65"/>
  <c r="T16" i="65" s="1"/>
  <c r="N16" i="65"/>
  <c r="P16" i="65" s="1"/>
  <c r="Q27" i="65"/>
  <c r="O27" i="65"/>
  <c r="W27" i="65"/>
  <c r="G87" i="63"/>
  <c r="H87" i="63" s="1"/>
  <c r="H86" i="63"/>
  <c r="D29" i="65"/>
  <c r="G88" i="63"/>
  <c r="H88" i="63" s="1"/>
  <c r="G89" i="63"/>
  <c r="H89" i="63" s="1"/>
  <c r="AF27" i="65" l="1"/>
  <c r="AG27" i="65"/>
  <c r="AD27" i="65"/>
  <c r="AG25" i="65"/>
  <c r="AF25" i="65"/>
  <c r="AD26" i="65"/>
  <c r="AE26" i="65"/>
  <c r="F28" i="65"/>
  <c r="S27" i="65"/>
  <c r="R27" i="65"/>
  <c r="V16" i="65"/>
  <c r="U16" i="65"/>
  <c r="J17" i="65"/>
  <c r="T17" i="65" s="1"/>
  <c r="L18" i="65"/>
  <c r="N17" i="65"/>
  <c r="P17" i="65" s="1"/>
  <c r="D30" i="65"/>
  <c r="Z19" i="64"/>
  <c r="G83" i="63"/>
  <c r="H83" i="63" s="1"/>
  <c r="AF26" i="65" l="1"/>
  <c r="AG26" i="65"/>
  <c r="AA28" i="65"/>
  <c r="AB28" i="65"/>
  <c r="W28" i="65"/>
  <c r="O28" i="65"/>
  <c r="Q28" i="65"/>
  <c r="S28" i="65"/>
  <c r="R28" i="65"/>
  <c r="L19" i="65"/>
  <c r="J18" i="65"/>
  <c r="T18" i="65" s="1"/>
  <c r="N18" i="65"/>
  <c r="V17" i="65"/>
  <c r="U17" i="65"/>
  <c r="D31" i="65"/>
  <c r="F30" i="65"/>
  <c r="W193" i="64"/>
  <c r="Y193" i="64" s="1"/>
  <c r="G84" i="63"/>
  <c r="H84" i="63" s="1"/>
  <c r="H79" i="63" s="1"/>
  <c r="F29" i="65"/>
  <c r="AE28" i="65" l="1"/>
  <c r="AD28" i="65"/>
  <c r="AA29" i="65"/>
  <c r="AB29" i="65"/>
  <c r="AC29" i="65"/>
  <c r="AA30" i="65"/>
  <c r="AB30" i="65"/>
  <c r="AC30" i="65"/>
  <c r="U18" i="65"/>
  <c r="V18" i="65"/>
  <c r="J19" i="65"/>
  <c r="T19" i="65" s="1"/>
  <c r="L20" i="65"/>
  <c r="N19" i="65"/>
  <c r="Q29" i="65"/>
  <c r="O29" i="65"/>
  <c r="W29" i="65"/>
  <c r="O30" i="65"/>
  <c r="Q30" i="65"/>
  <c r="W30" i="65"/>
  <c r="D32" i="65"/>
  <c r="P18" i="65"/>
  <c r="AD30" i="65" l="1"/>
  <c r="AE30" i="65"/>
  <c r="AD29" i="65"/>
  <c r="AE29" i="65"/>
  <c r="AG28" i="65"/>
  <c r="AF28" i="65"/>
  <c r="P19" i="65"/>
  <c r="F31" i="65"/>
  <c r="D33" i="65"/>
  <c r="S29" i="65"/>
  <c r="R29" i="65"/>
  <c r="S30" i="65"/>
  <c r="R30" i="65"/>
  <c r="L21" i="65"/>
  <c r="J20" i="65"/>
  <c r="T20" i="65" s="1"/>
  <c r="N20" i="65"/>
  <c r="V19" i="65"/>
  <c r="U19" i="65"/>
  <c r="AF29" i="65" l="1"/>
  <c r="AG29" i="65"/>
  <c r="AA31" i="65"/>
  <c r="AB31" i="65"/>
  <c r="AC31" i="65"/>
  <c r="AF30" i="65"/>
  <c r="AG30" i="65"/>
  <c r="W31" i="65"/>
  <c r="Q31" i="65"/>
  <c r="R31" i="65" s="1"/>
  <c r="O31" i="65"/>
  <c r="F32" i="65"/>
  <c r="P20" i="65"/>
  <c r="V20" i="65"/>
  <c r="U20" i="65"/>
  <c r="J21" i="65"/>
  <c r="T21" i="65" s="1"/>
  <c r="L22" i="65"/>
  <c r="N21" i="65"/>
  <c r="D34" i="65"/>
  <c r="AA32" i="65" l="1"/>
  <c r="AC32" i="65"/>
  <c r="AB32" i="65"/>
  <c r="Q32" i="65"/>
  <c r="R32" i="65" s="1"/>
  <c r="AD31" i="65"/>
  <c r="AE31" i="65"/>
  <c r="W32" i="65"/>
  <c r="O32" i="65"/>
  <c r="S31" i="65"/>
  <c r="P21" i="65"/>
  <c r="D35" i="65"/>
  <c r="F33" i="65"/>
  <c r="J22" i="65"/>
  <c r="T22" i="65" s="1"/>
  <c r="L23" i="65"/>
  <c r="N22" i="65"/>
  <c r="P22" i="65" s="1"/>
  <c r="V21" i="65"/>
  <c r="U21" i="65"/>
  <c r="S32" i="65" l="1"/>
  <c r="AA33" i="65"/>
  <c r="AC33" i="65"/>
  <c r="AB33" i="65"/>
  <c r="AF31" i="65"/>
  <c r="AG31" i="65"/>
  <c r="AD32" i="65"/>
  <c r="AE32" i="65"/>
  <c r="V22" i="65"/>
  <c r="U22" i="65"/>
  <c r="J23" i="65"/>
  <c r="T23" i="65" s="1"/>
  <c r="L24" i="65"/>
  <c r="N23" i="65"/>
  <c r="O33" i="65"/>
  <c r="W33" i="65"/>
  <c r="Q33" i="65"/>
  <c r="D36" i="65"/>
  <c r="F34" i="65"/>
  <c r="AF32" i="65" l="1"/>
  <c r="AG32" i="65"/>
  <c r="AD33" i="65"/>
  <c r="AE33" i="65"/>
  <c r="AA34" i="65"/>
  <c r="AC34" i="65"/>
  <c r="AB34" i="65"/>
  <c r="P23" i="65"/>
  <c r="F35" i="65"/>
  <c r="D37" i="65"/>
  <c r="S33" i="65"/>
  <c r="R33" i="65"/>
  <c r="L25" i="65"/>
  <c r="J24" i="65"/>
  <c r="T24" i="65" s="1"/>
  <c r="N24" i="65"/>
  <c r="P24" i="65" s="1"/>
  <c r="U23" i="65"/>
  <c r="V23" i="65"/>
  <c r="Q34" i="65"/>
  <c r="W34" i="65"/>
  <c r="O34" i="65"/>
  <c r="AD34" i="65" l="1"/>
  <c r="AE34" i="65"/>
  <c r="AA35" i="65"/>
  <c r="AB35" i="65"/>
  <c r="AC35" i="65"/>
  <c r="AF33" i="65"/>
  <c r="AG33" i="65"/>
  <c r="O35" i="65"/>
  <c r="W35" i="65"/>
  <c r="Q35" i="65"/>
  <c r="S35" i="65" s="1"/>
  <c r="F36" i="65"/>
  <c r="S34" i="65"/>
  <c r="R34" i="65"/>
  <c r="D38" i="65"/>
  <c r="U24" i="65"/>
  <c r="V24" i="65"/>
  <c r="L26" i="65"/>
  <c r="J25" i="65"/>
  <c r="T25" i="65" s="1"/>
  <c r="N25" i="65"/>
  <c r="R35" i="65" l="1"/>
  <c r="AA36" i="65"/>
  <c r="AC36" i="65"/>
  <c r="AB36" i="65"/>
  <c r="AD35" i="65"/>
  <c r="AE35" i="65"/>
  <c r="AG34" i="65"/>
  <c r="AF34" i="65"/>
  <c r="Q36" i="65"/>
  <c r="S36" i="65" s="1"/>
  <c r="W36" i="65"/>
  <c r="O36" i="65"/>
  <c r="P25" i="65"/>
  <c r="V25" i="65"/>
  <c r="U25" i="65"/>
  <c r="L27" i="65"/>
  <c r="J26" i="65"/>
  <c r="T26" i="65" s="1"/>
  <c r="N26" i="65"/>
  <c r="P26" i="65" s="1"/>
  <c r="D39" i="65"/>
  <c r="F37" i="65"/>
  <c r="AF35" i="65" l="1"/>
  <c r="AG35" i="65"/>
  <c r="AA37" i="65"/>
  <c r="AC37" i="65"/>
  <c r="AB37" i="65"/>
  <c r="AD36" i="65"/>
  <c r="R36" i="65"/>
  <c r="AE36" i="65"/>
  <c r="V26" i="65"/>
  <c r="U26" i="65"/>
  <c r="W37" i="65"/>
  <c r="O37" i="65"/>
  <c r="Q37" i="65"/>
  <c r="J27" i="65"/>
  <c r="T27" i="65" s="1"/>
  <c r="L28" i="65"/>
  <c r="N27" i="65"/>
  <c r="P27" i="65" s="1"/>
  <c r="F39" i="65"/>
  <c r="F38" i="65"/>
  <c r="AA38" i="65" l="1"/>
  <c r="AB38" i="65"/>
  <c r="AC38" i="65"/>
  <c r="AB39" i="65"/>
  <c r="AA39" i="65"/>
  <c r="AD39" i="65" s="1"/>
  <c r="AC39" i="65"/>
  <c r="AD37" i="65"/>
  <c r="AE37" i="65"/>
  <c r="AG36" i="65"/>
  <c r="AF36" i="65"/>
  <c r="F40" i="65"/>
  <c r="W39" i="65"/>
  <c r="Q39" i="65"/>
  <c r="O39" i="65"/>
  <c r="S37" i="65"/>
  <c r="R37" i="65"/>
  <c r="O38" i="65"/>
  <c r="W38" i="65"/>
  <c r="Q38" i="65"/>
  <c r="J28" i="65"/>
  <c r="T28" i="65" s="1"/>
  <c r="L29" i="65"/>
  <c r="N28" i="65"/>
  <c r="P28" i="65" s="1"/>
  <c r="U27" i="65"/>
  <c r="V27" i="65"/>
  <c r="AD38" i="65" l="1"/>
  <c r="AF37" i="65"/>
  <c r="AG37" i="65"/>
  <c r="AE38" i="65"/>
  <c r="AE39" i="65"/>
  <c r="AA40" i="65"/>
  <c r="W40" i="65"/>
  <c r="G59" i="63"/>
  <c r="H58" i="63"/>
  <c r="J29" i="65"/>
  <c r="T29" i="65" s="1"/>
  <c r="L30" i="65"/>
  <c r="N29" i="65"/>
  <c r="P29" i="65" s="1"/>
  <c r="V28" i="65"/>
  <c r="U28" i="65"/>
  <c r="G12" i="63"/>
  <c r="R39" i="65"/>
  <c r="S39" i="65"/>
  <c r="S38" i="65"/>
  <c r="R38" i="65"/>
  <c r="AF38" i="65" l="1"/>
  <c r="AG38" i="65"/>
  <c r="AF39" i="65"/>
  <c r="AG39" i="65"/>
  <c r="G60" i="63"/>
  <c r="H59" i="63"/>
  <c r="H12" i="63"/>
  <c r="H10" i="63" s="1"/>
  <c r="J11" i="63" s="1"/>
  <c r="L31" i="65"/>
  <c r="J30" i="65"/>
  <c r="T30" i="65" s="1"/>
  <c r="N30" i="65"/>
  <c r="P30" i="65" s="1"/>
  <c r="U29" i="65"/>
  <c r="V29" i="65"/>
  <c r="G47" i="63"/>
  <c r="H47" i="63" s="1"/>
  <c r="G61" i="63" l="1"/>
  <c r="H60" i="63"/>
  <c r="U30" i="65"/>
  <c r="V30" i="65"/>
  <c r="L32" i="65"/>
  <c r="J31" i="65"/>
  <c r="T31" i="65" s="1"/>
  <c r="N31" i="65"/>
  <c r="P31" i="65" s="1"/>
  <c r="G62" i="63" l="1"/>
  <c r="H62" i="63" s="1"/>
  <c r="H61" i="63"/>
  <c r="V31" i="65"/>
  <c r="U31" i="65"/>
  <c r="J32" i="65"/>
  <c r="T32" i="65" s="1"/>
  <c r="L33" i="65"/>
  <c r="N32" i="65"/>
  <c r="P32" i="65" s="1"/>
  <c r="J33" i="65" l="1"/>
  <c r="T33" i="65" s="1"/>
  <c r="L34" i="65"/>
  <c r="N33" i="65"/>
  <c r="P33" i="65" s="1"/>
  <c r="V32" i="65"/>
  <c r="U32" i="65"/>
  <c r="L35" i="65" l="1"/>
  <c r="L41" i="65" s="1"/>
  <c r="J34" i="65"/>
  <c r="T34" i="65" s="1"/>
  <c r="N34" i="65"/>
  <c r="P34" i="65" s="1"/>
  <c r="U33" i="65"/>
  <c r="V33" i="65"/>
  <c r="L42" i="65" l="1"/>
  <c r="J41" i="65"/>
  <c r="T41" i="65" s="1"/>
  <c r="N41" i="65"/>
  <c r="V34" i="65"/>
  <c r="U34" i="65"/>
  <c r="J35" i="65"/>
  <c r="T35" i="65" s="1"/>
  <c r="L36" i="65"/>
  <c r="N35" i="65"/>
  <c r="P41" i="65" l="1"/>
  <c r="V41" i="65"/>
  <c r="U41" i="65"/>
  <c r="L43" i="65"/>
  <c r="J42" i="65"/>
  <c r="T42" i="65" s="1"/>
  <c r="N42" i="65"/>
  <c r="P42" i="65" s="1"/>
  <c r="P35" i="65"/>
  <c r="J36" i="65"/>
  <c r="T36" i="65" s="1"/>
  <c r="L37" i="65"/>
  <c r="N36" i="65"/>
  <c r="P36" i="65" s="1"/>
  <c r="V35" i="65"/>
  <c r="U35" i="65"/>
  <c r="J43" i="65" l="1"/>
  <c r="T43" i="65" s="1"/>
  <c r="L44" i="65"/>
  <c r="N43" i="65"/>
  <c r="P43" i="65" s="1"/>
  <c r="V42" i="65"/>
  <c r="U42" i="65"/>
  <c r="J37" i="65"/>
  <c r="T37" i="65" s="1"/>
  <c r="L38" i="65"/>
  <c r="N37" i="65"/>
  <c r="P37" i="65" s="1"/>
  <c r="U36" i="65"/>
  <c r="V36" i="65"/>
  <c r="J44" i="65" l="1"/>
  <c r="T44" i="65" s="1"/>
  <c r="N44" i="65"/>
  <c r="V43" i="65"/>
  <c r="U43" i="65"/>
  <c r="J38" i="65"/>
  <c r="T38" i="65" s="1"/>
  <c r="L39" i="65"/>
  <c r="N38" i="65"/>
  <c r="P38" i="65" s="1"/>
  <c r="V37" i="65"/>
  <c r="U37" i="65"/>
  <c r="P44" i="65" l="1"/>
  <c r="P45" i="65" s="1"/>
  <c r="N45" i="65"/>
  <c r="U44" i="65"/>
  <c r="U45" i="65" s="1"/>
  <c r="V44" i="65"/>
  <c r="T45" i="65"/>
  <c r="V45" i="65"/>
  <c r="J39" i="65"/>
  <c r="T39" i="65" s="1"/>
  <c r="N39" i="65"/>
  <c r="P39" i="65" s="1"/>
  <c r="U38" i="65"/>
  <c r="V38" i="65"/>
  <c r="V39" i="65" l="1"/>
  <c r="U39" i="65"/>
  <c r="O40" i="65" l="1"/>
  <c r="Q40" i="65" l="1"/>
  <c r="G35" i="63" l="1"/>
  <c r="S40" i="65"/>
  <c r="R40" i="65"/>
  <c r="H35" i="63" l="1"/>
  <c r="G40" i="63"/>
  <c r="H40" i="63" s="1"/>
  <c r="G41" i="63"/>
  <c r="H41" i="63" s="1"/>
  <c r="G39" i="63"/>
  <c r="H39" i="63" s="1"/>
  <c r="AC40" i="65" l="1"/>
  <c r="H63" i="63" s="1"/>
  <c r="H49" i="63" s="1"/>
  <c r="AD40" i="65" l="1"/>
  <c r="AB40" i="65"/>
  <c r="G129" i="63" l="1"/>
  <c r="H129" i="63" s="1"/>
  <c r="H128" i="63" s="1"/>
  <c r="AE40" i="65"/>
  <c r="AG40" i="65" l="1"/>
  <c r="AF40" i="65"/>
  <c r="T40" i="65" l="1"/>
  <c r="N40" i="65"/>
  <c r="P40" i="65" l="1"/>
  <c r="V40" i="65"/>
  <c r="U40" i="65"/>
  <c r="G46" i="63" l="1"/>
  <c r="H46" i="63" s="1"/>
  <c r="G42" i="63"/>
  <c r="G44" i="63"/>
  <c r="H44" i="63" s="1"/>
  <c r="G45" i="63"/>
  <c r="H45" i="63" s="1"/>
  <c r="G37" i="63"/>
  <c r="H37" i="63" s="1"/>
  <c r="G36" i="63"/>
  <c r="H36" i="63" l="1"/>
  <c r="H42" i="63"/>
  <c r="G43" i="63"/>
  <c r="H43" i="63" s="1"/>
  <c r="H25" i="63" l="1"/>
  <c r="H135" i="63" s="1"/>
  <c r="H134" i="63"/>
  <c r="AC37" i="26" l="1"/>
  <c r="AC36" i="26"/>
  <c r="AC32" i="26"/>
  <c r="AC30" i="26"/>
  <c r="AC28" i="26"/>
  <c r="AC26" i="26"/>
  <c r="AC24" i="26"/>
  <c r="AC22" i="26"/>
  <c r="AC20" i="26"/>
  <c r="AC18" i="26"/>
  <c r="AC16" i="26"/>
  <c r="B32" i="26"/>
  <c r="B59" i="26" s="1"/>
  <c r="A32" i="26"/>
  <c r="A59" i="26" s="1"/>
  <c r="AC33" i="26"/>
  <c r="H311" i="37"/>
  <c r="L311" i="37" s="1"/>
  <c r="P311" i="37" s="1"/>
  <c r="G217" i="37"/>
  <c r="K217" i="37" s="1"/>
  <c r="H217" i="37"/>
  <c r="L217" i="37" s="1"/>
  <c r="I217" i="37"/>
  <c r="G216" i="37"/>
  <c r="K216" i="37" s="1"/>
  <c r="H216" i="37"/>
  <c r="L216" i="37" s="1"/>
  <c r="I216" i="37"/>
  <c r="K215" i="37"/>
  <c r="H215" i="37"/>
  <c r="E19" i="37"/>
  <c r="Q19" i="37" s="1"/>
  <c r="E20" i="37"/>
  <c r="E21" i="37"/>
  <c r="E22" i="37"/>
  <c r="E23" i="37"/>
  <c r="E24" i="37"/>
  <c r="Q24" i="37" s="1"/>
  <c r="E25" i="37"/>
  <c r="M25" i="37" s="1"/>
  <c r="E26" i="37"/>
  <c r="M26" i="37" s="1"/>
  <c r="E27" i="37"/>
  <c r="E28" i="37"/>
  <c r="E29" i="37"/>
  <c r="E30" i="37"/>
  <c r="Q30" i="37" s="1"/>
  <c r="E31" i="37"/>
  <c r="E32" i="37"/>
  <c r="E33" i="37"/>
  <c r="E34" i="37"/>
  <c r="E35" i="37"/>
  <c r="E36" i="37"/>
  <c r="M36" i="37" s="1"/>
  <c r="E17" i="37"/>
  <c r="Q17" i="37" s="1"/>
  <c r="F17" i="37"/>
  <c r="G17" i="37"/>
  <c r="F18" i="37"/>
  <c r="G18" i="37"/>
  <c r="F19" i="37"/>
  <c r="H19" i="37" s="1"/>
  <c r="G19" i="37"/>
  <c r="F20" i="37"/>
  <c r="H20" i="37" s="1"/>
  <c r="G20" i="37"/>
  <c r="F21" i="37"/>
  <c r="G21" i="37"/>
  <c r="F22" i="37"/>
  <c r="G22" i="37"/>
  <c r="F23" i="37"/>
  <c r="G23" i="37"/>
  <c r="F24" i="37"/>
  <c r="G24" i="37"/>
  <c r="F25" i="37"/>
  <c r="G25" i="37"/>
  <c r="F26" i="37"/>
  <c r="G26" i="37"/>
  <c r="F27" i="37"/>
  <c r="G27" i="37"/>
  <c r="F28" i="37"/>
  <c r="G28" i="37"/>
  <c r="F29" i="37"/>
  <c r="G29" i="37"/>
  <c r="F30" i="37"/>
  <c r="G30" i="37"/>
  <c r="F31" i="37"/>
  <c r="G31" i="37"/>
  <c r="F32" i="37"/>
  <c r="G32" i="37"/>
  <c r="F33" i="37"/>
  <c r="G33" i="37"/>
  <c r="F34" i="37"/>
  <c r="G34" i="37"/>
  <c r="F35" i="37"/>
  <c r="K35" i="37" s="1"/>
  <c r="L35" i="37" s="1"/>
  <c r="G35" i="37"/>
  <c r="F36" i="37"/>
  <c r="G36" i="37"/>
  <c r="H36" i="37"/>
  <c r="M19" i="37"/>
  <c r="M20" i="37"/>
  <c r="M21" i="37"/>
  <c r="M34" i="37"/>
  <c r="M35" i="37"/>
  <c r="K34" i="37"/>
  <c r="L34" i="37" s="1"/>
  <c r="K36" i="37"/>
  <c r="L36" i="37" s="1"/>
  <c r="P55" i="37"/>
  <c r="G58" i="16" s="1"/>
  <c r="Q34" i="37"/>
  <c r="Q35" i="37"/>
  <c r="Q36" i="37"/>
  <c r="C261" i="37"/>
  <c r="I261" i="37" s="1"/>
  <c r="C262" i="37"/>
  <c r="I262" i="37" s="1"/>
  <c r="C263" i="37"/>
  <c r="I263" i="37" s="1"/>
  <c r="Q312" i="37" s="1"/>
  <c r="C264" i="37"/>
  <c r="I264" i="37" s="1"/>
  <c r="Q313" i="37" s="1"/>
  <c r="C265" i="37"/>
  <c r="I265" i="37" s="1"/>
  <c r="Q314" i="37" s="1"/>
  <c r="C266" i="37"/>
  <c r="I266" i="37" s="1"/>
  <c r="Q315" i="37" s="1"/>
  <c r="C267" i="37"/>
  <c r="I267" i="37" s="1"/>
  <c r="Q316" i="37" s="1"/>
  <c r="C268" i="37"/>
  <c r="I268" i="37" s="1"/>
  <c r="Q317" i="37" s="1"/>
  <c r="C269" i="37"/>
  <c r="I269" i="37" s="1"/>
  <c r="Q318" i="37" s="1"/>
  <c r="C270" i="37"/>
  <c r="I270" i="37" s="1"/>
  <c r="Q319" i="37" s="1"/>
  <c r="C271" i="37"/>
  <c r="I271" i="37" s="1"/>
  <c r="Q320" i="37" s="1"/>
  <c r="C272" i="37"/>
  <c r="I272" i="37" s="1"/>
  <c r="Q321" i="37" s="1"/>
  <c r="C273" i="37"/>
  <c r="I273" i="37" s="1"/>
  <c r="Q322" i="37" s="1"/>
  <c r="C274" i="37"/>
  <c r="I274" i="37" s="1"/>
  <c r="Q323" i="37" s="1"/>
  <c r="C275" i="37"/>
  <c r="I275" i="37" s="1"/>
  <c r="Q324" i="37" s="1"/>
  <c r="C276" i="37"/>
  <c r="I276" i="37" s="1"/>
  <c r="Q325" i="37" s="1"/>
  <c r="C277" i="37"/>
  <c r="I277" i="37" s="1"/>
  <c r="Q326" i="37" s="1"/>
  <c r="C278" i="37"/>
  <c r="I278" i="37" s="1"/>
  <c r="Q327" i="37" s="1"/>
  <c r="C279" i="37"/>
  <c r="I279" i="37" s="1"/>
  <c r="Q328" i="37" s="1"/>
  <c r="C280" i="37"/>
  <c r="I280" i="37" s="1"/>
  <c r="Q329" i="37" s="1"/>
  <c r="C281" i="37"/>
  <c r="I281" i="37" s="1"/>
  <c r="Q330" i="37" s="1"/>
  <c r="C282" i="37"/>
  <c r="I282" i="37" s="1"/>
  <c r="Q331" i="37" s="1"/>
  <c r="C283" i="37"/>
  <c r="I283" i="37" s="1"/>
  <c r="C284" i="37"/>
  <c r="I284" i="37" s="1"/>
  <c r="Q333" i="37" s="1"/>
  <c r="C285" i="37"/>
  <c r="I285" i="37" s="1"/>
  <c r="C286" i="37"/>
  <c r="I286" i="37" s="1"/>
  <c r="C287" i="37"/>
  <c r="I287" i="37" s="1"/>
  <c r="Q336" i="37" s="1"/>
  <c r="C288" i="37"/>
  <c r="I288" i="37" s="1"/>
  <c r="C289" i="37"/>
  <c r="I289" i="37" s="1"/>
  <c r="C290" i="37"/>
  <c r="I290" i="37" s="1"/>
  <c r="Q339" i="37" s="1"/>
  <c r="C291" i="37"/>
  <c r="I291" i="37" s="1"/>
  <c r="Q340" i="37" s="1"/>
  <c r="C292" i="37"/>
  <c r="I292" i="37" s="1"/>
  <c r="Q341" i="37" s="1"/>
  <c r="C293" i="37"/>
  <c r="I293" i="37" s="1"/>
  <c r="Q342" i="37" s="1"/>
  <c r="C294" i="37"/>
  <c r="I294" i="37" s="1"/>
  <c r="Q343" i="37" s="1"/>
  <c r="C295" i="37"/>
  <c r="I295" i="37" s="1"/>
  <c r="Q344" i="37" s="1"/>
  <c r="C296" i="37"/>
  <c r="I296" i="37" s="1"/>
  <c r="Q345" i="37" s="1"/>
  <c r="C214" i="37"/>
  <c r="I214" i="37" s="1"/>
  <c r="Q308" i="37" s="1"/>
  <c r="I260" i="37"/>
  <c r="Q332" i="37"/>
  <c r="Q334" i="37"/>
  <c r="Q335" i="37"/>
  <c r="Q337" i="37"/>
  <c r="Q338" i="37"/>
  <c r="E65" i="37"/>
  <c r="G65" i="37" s="1"/>
  <c r="E66" i="37"/>
  <c r="E67" i="37"/>
  <c r="Q67" i="37" s="1"/>
  <c r="E68" i="37"/>
  <c r="Q68" i="37" s="1"/>
  <c r="E69" i="37"/>
  <c r="M69" i="37" s="1"/>
  <c r="D70" i="37"/>
  <c r="E70" i="37" s="1"/>
  <c r="G70" i="37" s="1"/>
  <c r="P70" i="37" s="1"/>
  <c r="E71" i="37"/>
  <c r="M71" i="37" s="1"/>
  <c r="E72" i="37"/>
  <c r="E73" i="37"/>
  <c r="E74" i="37"/>
  <c r="E75" i="37"/>
  <c r="E76" i="37"/>
  <c r="Q76" i="37" s="1"/>
  <c r="E77" i="37"/>
  <c r="M77" i="37" s="1"/>
  <c r="E78" i="37"/>
  <c r="Q78" i="37" s="1"/>
  <c r="E79" i="37"/>
  <c r="Q79" i="37" s="1"/>
  <c r="E80" i="37"/>
  <c r="E81" i="37"/>
  <c r="G81" i="37" s="1"/>
  <c r="P81" i="37" s="1"/>
  <c r="E82" i="37"/>
  <c r="G82" i="37" s="1"/>
  <c r="E83" i="37"/>
  <c r="G83" i="37" s="1"/>
  <c r="E84" i="37"/>
  <c r="G84" i="37" s="1"/>
  <c r="P84" i="37" s="1"/>
  <c r="E85" i="37"/>
  <c r="G85" i="37" s="1"/>
  <c r="P85" i="37" s="1"/>
  <c r="E86" i="37"/>
  <c r="G86" i="37" s="1"/>
  <c r="E87" i="37"/>
  <c r="Q87" i="37" s="1"/>
  <c r="E88" i="37"/>
  <c r="Q88" i="37" s="1"/>
  <c r="E89" i="37"/>
  <c r="M89" i="37" s="1"/>
  <c r="E90" i="37"/>
  <c r="G90" i="37" s="1"/>
  <c r="P90" i="37" s="1"/>
  <c r="E91" i="37"/>
  <c r="M91" i="37" s="1"/>
  <c r="E92" i="37"/>
  <c r="E93" i="37"/>
  <c r="E94" i="37"/>
  <c r="E95" i="37"/>
  <c r="E96" i="37"/>
  <c r="E97" i="37"/>
  <c r="E63" i="37"/>
  <c r="M63" i="37" s="1"/>
  <c r="F63" i="37"/>
  <c r="F64" i="37"/>
  <c r="F65" i="37"/>
  <c r="F66" i="37"/>
  <c r="F67" i="37"/>
  <c r="F68" i="37"/>
  <c r="F69" i="37"/>
  <c r="F70" i="37"/>
  <c r="F71" i="37"/>
  <c r="F72" i="37"/>
  <c r="F73" i="37"/>
  <c r="F74" i="37"/>
  <c r="F75" i="37"/>
  <c r="F76" i="37"/>
  <c r="F77" i="37"/>
  <c r="F78" i="37"/>
  <c r="F79" i="37"/>
  <c r="F80" i="37"/>
  <c r="F81" i="37"/>
  <c r="K81" i="37" s="1"/>
  <c r="L81" i="37" s="1"/>
  <c r="F82" i="37"/>
  <c r="K82" i="37" s="1"/>
  <c r="L82" i="37" s="1"/>
  <c r="F83" i="37"/>
  <c r="F84" i="37"/>
  <c r="F85" i="37"/>
  <c r="F86" i="37"/>
  <c r="K86" i="37" s="1"/>
  <c r="L86" i="37" s="1"/>
  <c r="F87" i="37"/>
  <c r="F88" i="37"/>
  <c r="F89" i="37"/>
  <c r="F90" i="37"/>
  <c r="F91" i="37"/>
  <c r="F92" i="37"/>
  <c r="F93" i="37"/>
  <c r="F94" i="37"/>
  <c r="F95" i="37"/>
  <c r="F96" i="37"/>
  <c r="F97" i="37"/>
  <c r="M81" i="37"/>
  <c r="M83" i="37"/>
  <c r="M86" i="37"/>
  <c r="K67" i="37"/>
  <c r="L67" i="37" s="1"/>
  <c r="K68" i="37"/>
  <c r="L68" i="37" s="1"/>
  <c r="K83" i="37"/>
  <c r="L83" i="37" s="1"/>
  <c r="K84" i="37"/>
  <c r="L84" i="37" s="1"/>
  <c r="K85" i="37"/>
  <c r="L85" i="37" s="1"/>
  <c r="Q66" i="37"/>
  <c r="Q81" i="37"/>
  <c r="E106" i="37"/>
  <c r="Q106" i="37" s="1"/>
  <c r="E108" i="37"/>
  <c r="M108" i="37" s="1"/>
  <c r="E109" i="37"/>
  <c r="E110" i="37"/>
  <c r="G110" i="37" s="1"/>
  <c r="P110" i="37" s="1"/>
  <c r="E111" i="37"/>
  <c r="E112" i="37"/>
  <c r="M112" i="37" s="1"/>
  <c r="E113" i="37"/>
  <c r="M113" i="37" s="1"/>
  <c r="E114" i="37"/>
  <c r="E115" i="37"/>
  <c r="Q115" i="37" s="1"/>
  <c r="E116" i="37"/>
  <c r="Q116" i="37" s="1"/>
  <c r="E117" i="37"/>
  <c r="Q117" i="37" s="1"/>
  <c r="E118" i="37"/>
  <c r="Q118" i="37" s="1"/>
  <c r="E119" i="37"/>
  <c r="Q119" i="37" s="1"/>
  <c r="E120" i="37"/>
  <c r="M120" i="37" s="1"/>
  <c r="E121" i="37"/>
  <c r="Q121" i="37" s="1"/>
  <c r="E122" i="37"/>
  <c r="E123" i="37"/>
  <c r="G123" i="37" s="1"/>
  <c r="P123" i="37" s="1"/>
  <c r="E124" i="37"/>
  <c r="M124" i="37" s="1"/>
  <c r="E125" i="37"/>
  <c r="F106" i="37"/>
  <c r="F107" i="37"/>
  <c r="F108" i="37"/>
  <c r="F109" i="37"/>
  <c r="F110" i="37"/>
  <c r="F111" i="37"/>
  <c r="F112" i="37"/>
  <c r="F113" i="37"/>
  <c r="F114" i="37"/>
  <c r="F115" i="37"/>
  <c r="G115" i="37"/>
  <c r="P115" i="37" s="1"/>
  <c r="F116" i="37"/>
  <c r="F117" i="37"/>
  <c r="F118" i="37"/>
  <c r="F119" i="37"/>
  <c r="F120" i="37"/>
  <c r="F121" i="37"/>
  <c r="F122" i="37"/>
  <c r="F123" i="37"/>
  <c r="F124" i="37"/>
  <c r="F125" i="37"/>
  <c r="M123" i="37"/>
  <c r="K123" i="37"/>
  <c r="L123" i="37" s="1"/>
  <c r="E134" i="37"/>
  <c r="E135" i="37"/>
  <c r="E136" i="37"/>
  <c r="Q136" i="37" s="1"/>
  <c r="E137" i="37"/>
  <c r="H137" i="37" s="1"/>
  <c r="E138" i="37"/>
  <c r="E139" i="37"/>
  <c r="E140" i="37"/>
  <c r="G140" i="37" s="1"/>
  <c r="P140" i="37" s="1"/>
  <c r="E141" i="37"/>
  <c r="G141" i="37" s="1"/>
  <c r="P141" i="37" s="1"/>
  <c r="E142" i="37"/>
  <c r="Q142" i="37" s="1"/>
  <c r="E143" i="37"/>
  <c r="Q143" i="37" s="1"/>
  <c r="E144" i="37"/>
  <c r="Q144" i="37" s="1"/>
  <c r="E145" i="37"/>
  <c r="E146" i="37"/>
  <c r="G146" i="37" s="1"/>
  <c r="P146" i="37" s="1"/>
  <c r="E147" i="37"/>
  <c r="G147" i="37" s="1"/>
  <c r="P147" i="37" s="1"/>
  <c r="E148" i="37"/>
  <c r="M148" i="37" s="1"/>
  <c r="I148" i="37" s="1"/>
  <c r="J148" i="37" s="1"/>
  <c r="E149" i="37"/>
  <c r="M149" i="37" s="1"/>
  <c r="I149" i="37" s="1"/>
  <c r="J149" i="37" s="1"/>
  <c r="E150" i="37"/>
  <c r="E151" i="37"/>
  <c r="G151" i="37" s="1"/>
  <c r="P151" i="37" s="1"/>
  <c r="E152" i="37"/>
  <c r="M152" i="37" s="1"/>
  <c r="I152" i="37" s="1"/>
  <c r="J152" i="37" s="1"/>
  <c r="E153" i="37"/>
  <c r="G153" i="37" s="1"/>
  <c r="P153" i="37" s="1"/>
  <c r="F134" i="37"/>
  <c r="G134" i="37"/>
  <c r="H134" i="37" s="1"/>
  <c r="F135" i="37"/>
  <c r="G135" i="37"/>
  <c r="P135" i="37" s="1"/>
  <c r="F136" i="37"/>
  <c r="G136" i="37"/>
  <c r="P136" i="37" s="1"/>
  <c r="F137" i="37"/>
  <c r="G137" i="37"/>
  <c r="P137" i="37" s="1"/>
  <c r="F138" i="37"/>
  <c r="G138" i="37"/>
  <c r="P138" i="37" s="1"/>
  <c r="F139" i="37"/>
  <c r="F140" i="37"/>
  <c r="F141" i="37"/>
  <c r="F142" i="37"/>
  <c r="F143" i="37"/>
  <c r="F144" i="37"/>
  <c r="F145" i="37"/>
  <c r="F146" i="37"/>
  <c r="F147" i="37"/>
  <c r="F148" i="37"/>
  <c r="F149" i="37"/>
  <c r="F150" i="37"/>
  <c r="F151" i="37"/>
  <c r="F152" i="37"/>
  <c r="G152" i="37"/>
  <c r="P152" i="37" s="1"/>
  <c r="F153" i="37"/>
  <c r="M134" i="37"/>
  <c r="M135" i="37"/>
  <c r="I135" i="37" s="1"/>
  <c r="J135" i="37" s="1"/>
  <c r="M137" i="37"/>
  <c r="I137" i="37" s="1"/>
  <c r="J137" i="37" s="1"/>
  <c r="M138" i="37"/>
  <c r="I138" i="37" s="1"/>
  <c r="J138" i="37" s="1"/>
  <c r="M139" i="37"/>
  <c r="I139" i="37" s="1"/>
  <c r="J139" i="37" s="1"/>
  <c r="M140" i="37"/>
  <c r="I140" i="37" s="1"/>
  <c r="J140" i="37" s="1"/>
  <c r="M151" i="37"/>
  <c r="I151" i="37" s="1"/>
  <c r="J151" i="37" s="1"/>
  <c r="K134" i="37"/>
  <c r="K135" i="37"/>
  <c r="L135" i="37" s="1"/>
  <c r="Q134" i="37"/>
  <c r="Q135" i="37"/>
  <c r="E162" i="37"/>
  <c r="Q162" i="37" s="1"/>
  <c r="E163" i="37"/>
  <c r="Q163" i="37" s="1"/>
  <c r="E164" i="37"/>
  <c r="E165" i="37"/>
  <c r="Q165" i="37" s="1"/>
  <c r="E166" i="37"/>
  <c r="E167" i="37"/>
  <c r="E168" i="37"/>
  <c r="E169" i="37"/>
  <c r="Q169" i="37" s="1"/>
  <c r="E170" i="37"/>
  <c r="G170" i="37" s="1"/>
  <c r="E171" i="37"/>
  <c r="E172" i="37"/>
  <c r="G172" i="37" s="1"/>
  <c r="H172" i="37" s="1"/>
  <c r="E173" i="37"/>
  <c r="Q173" i="37" s="1"/>
  <c r="E174" i="37"/>
  <c r="E175" i="37"/>
  <c r="E176" i="37"/>
  <c r="E177" i="37"/>
  <c r="Q177" i="37" s="1"/>
  <c r="E178" i="37"/>
  <c r="E179" i="37"/>
  <c r="G179" i="37" s="1"/>
  <c r="P179" i="37" s="1"/>
  <c r="E180" i="37"/>
  <c r="E181" i="37"/>
  <c r="Q181" i="37" s="1"/>
  <c r="F162" i="37"/>
  <c r="G162" i="37"/>
  <c r="P162" i="37" s="1"/>
  <c r="F163" i="37"/>
  <c r="F164" i="37"/>
  <c r="G164" i="37"/>
  <c r="F165" i="37"/>
  <c r="F166" i="37"/>
  <c r="G166" i="37"/>
  <c r="H166" i="37" s="1"/>
  <c r="F167" i="37"/>
  <c r="H167" i="37" s="1"/>
  <c r="G167" i="37"/>
  <c r="F168" i="37"/>
  <c r="G168" i="37"/>
  <c r="H168" i="37" s="1"/>
  <c r="F169" i="37"/>
  <c r="F170" i="37"/>
  <c r="F171" i="37"/>
  <c r="G171" i="37"/>
  <c r="F172" i="37"/>
  <c r="F173" i="37"/>
  <c r="F174" i="37"/>
  <c r="G174" i="37"/>
  <c r="F175" i="37"/>
  <c r="G175" i="37"/>
  <c r="F176" i="37"/>
  <c r="G176" i="37"/>
  <c r="F177" i="37"/>
  <c r="F178" i="37"/>
  <c r="G178" i="37"/>
  <c r="H178" i="37" s="1"/>
  <c r="F179" i="37"/>
  <c r="F180" i="37"/>
  <c r="G180" i="37"/>
  <c r="H180" i="37" s="1"/>
  <c r="F181" i="37"/>
  <c r="M162" i="37"/>
  <c r="I162" i="37"/>
  <c r="M163" i="37"/>
  <c r="I163" i="37" s="1"/>
  <c r="J163" i="37" s="1"/>
  <c r="M164" i="37"/>
  <c r="I164" i="37" s="1"/>
  <c r="J164" i="37" s="1"/>
  <c r="M166" i="37"/>
  <c r="I166" i="37" s="1"/>
  <c r="J166" i="37" s="1"/>
  <c r="M167" i="37"/>
  <c r="I167" i="37" s="1"/>
  <c r="J167" i="37" s="1"/>
  <c r="M168" i="37"/>
  <c r="I168" i="37" s="1"/>
  <c r="J168" i="37" s="1"/>
  <c r="M170" i="37"/>
  <c r="I170" i="37" s="1"/>
  <c r="J170" i="37" s="1"/>
  <c r="M171" i="37"/>
  <c r="I171" i="37" s="1"/>
  <c r="J171" i="37" s="1"/>
  <c r="M172" i="37"/>
  <c r="I172" i="37" s="1"/>
  <c r="J172" i="37" s="1"/>
  <c r="M174" i="37"/>
  <c r="I174" i="37" s="1"/>
  <c r="J174" i="37" s="1"/>
  <c r="M175" i="37"/>
  <c r="I175" i="37" s="1"/>
  <c r="J175" i="37" s="1"/>
  <c r="M176" i="37"/>
  <c r="I176" i="37" s="1"/>
  <c r="J176" i="37" s="1"/>
  <c r="M178" i="37"/>
  <c r="I178" i="37" s="1"/>
  <c r="J178" i="37" s="1"/>
  <c r="M179" i="37"/>
  <c r="I179" i="37" s="1"/>
  <c r="J179" i="37" s="1"/>
  <c r="M180" i="37"/>
  <c r="I180" i="37" s="1"/>
  <c r="J180" i="37" s="1"/>
  <c r="J162" i="37"/>
  <c r="K162" i="37"/>
  <c r="L162" i="37" s="1"/>
  <c r="K163" i="37"/>
  <c r="L163" i="37" s="1"/>
  <c r="K164" i="37"/>
  <c r="L164" i="37" s="1"/>
  <c r="K165" i="37"/>
  <c r="L165" i="37" s="1"/>
  <c r="K166" i="37"/>
  <c r="L166" i="37" s="1"/>
  <c r="K167" i="37"/>
  <c r="K168" i="37"/>
  <c r="K169" i="37"/>
  <c r="L169" i="37" s="1"/>
  <c r="K170" i="37"/>
  <c r="L170" i="37" s="1"/>
  <c r="K171" i="37"/>
  <c r="L171" i="37" s="1"/>
  <c r="K172" i="37"/>
  <c r="L172" i="37" s="1"/>
  <c r="K173" i="37"/>
  <c r="L173" i="37" s="1"/>
  <c r="K174" i="37"/>
  <c r="L174" i="37" s="1"/>
  <c r="K175" i="37"/>
  <c r="K176" i="37"/>
  <c r="K177" i="37"/>
  <c r="L177" i="37" s="1"/>
  <c r="K178" i="37"/>
  <c r="L178" i="37" s="1"/>
  <c r="K179" i="37"/>
  <c r="K180" i="37"/>
  <c r="L180" i="37" s="1"/>
  <c r="K181" i="37"/>
  <c r="L181" i="37" s="1"/>
  <c r="L167" i="37"/>
  <c r="L168" i="37"/>
  <c r="L175" i="37"/>
  <c r="L176" i="37"/>
  <c r="L179" i="37"/>
  <c r="P166" i="37"/>
  <c r="P167" i="37"/>
  <c r="P171" i="37"/>
  <c r="P174" i="37"/>
  <c r="P175" i="37"/>
  <c r="P178" i="37"/>
  <c r="Q164" i="37"/>
  <c r="Q166" i="37"/>
  <c r="Q167" i="37"/>
  <c r="Q168" i="37"/>
  <c r="Q170" i="37"/>
  <c r="Q171" i="37"/>
  <c r="Q172" i="37"/>
  <c r="Q174" i="37"/>
  <c r="Q175" i="37"/>
  <c r="Q176" i="37"/>
  <c r="Q178" i="37"/>
  <c r="Q179" i="37"/>
  <c r="Q180" i="37"/>
  <c r="E190" i="37"/>
  <c r="Q190" i="37" s="1"/>
  <c r="E191" i="37"/>
  <c r="E192" i="37"/>
  <c r="G192" i="37" s="1"/>
  <c r="P192" i="37" s="1"/>
  <c r="E193" i="37"/>
  <c r="E194" i="37"/>
  <c r="G194" i="37" s="1"/>
  <c r="E195" i="37"/>
  <c r="E196" i="37"/>
  <c r="G196" i="37" s="1"/>
  <c r="P196" i="37" s="1"/>
  <c r="E197" i="37"/>
  <c r="E198" i="37"/>
  <c r="E199" i="37"/>
  <c r="E200" i="37"/>
  <c r="G200" i="37" s="1"/>
  <c r="P200" i="37" s="1"/>
  <c r="E201" i="37"/>
  <c r="E202" i="37"/>
  <c r="G202" i="37" s="1"/>
  <c r="E203" i="37"/>
  <c r="E204" i="37"/>
  <c r="G204" i="37" s="1"/>
  <c r="P204" i="37" s="1"/>
  <c r="E205" i="37"/>
  <c r="E206" i="37"/>
  <c r="E207" i="37"/>
  <c r="E208" i="37"/>
  <c r="G208" i="37" s="1"/>
  <c r="P208" i="37" s="1"/>
  <c r="E209" i="37"/>
  <c r="F190" i="37"/>
  <c r="G190" i="37"/>
  <c r="F191" i="37"/>
  <c r="K191" i="37" s="1"/>
  <c r="L191" i="37" s="1"/>
  <c r="F192" i="37"/>
  <c r="F193" i="37"/>
  <c r="G193" i="37"/>
  <c r="H193" i="37" s="1"/>
  <c r="F194" i="37"/>
  <c r="F195" i="37"/>
  <c r="F196" i="37"/>
  <c r="F197" i="37"/>
  <c r="G197" i="37"/>
  <c r="F198" i="37"/>
  <c r="G198" i="37"/>
  <c r="F199" i="37"/>
  <c r="K199" i="37" s="1"/>
  <c r="L199" i="37" s="1"/>
  <c r="F200" i="37"/>
  <c r="F201" i="37"/>
  <c r="G201" i="37"/>
  <c r="H201" i="37" s="1"/>
  <c r="F202" i="37"/>
  <c r="F203" i="37"/>
  <c r="F204" i="37"/>
  <c r="F205" i="37"/>
  <c r="G205" i="37"/>
  <c r="F206" i="37"/>
  <c r="G206" i="37"/>
  <c r="F207" i="37"/>
  <c r="K207" i="37" s="1"/>
  <c r="L207" i="37" s="1"/>
  <c r="F208" i="37"/>
  <c r="F209" i="37"/>
  <c r="G209" i="37"/>
  <c r="H209" i="37" s="1"/>
  <c r="O209" i="37" s="1"/>
  <c r="M190" i="37"/>
  <c r="I190" i="37" s="1"/>
  <c r="M193" i="37"/>
  <c r="I193" i="37" s="1"/>
  <c r="J193" i="37" s="1"/>
  <c r="M194" i="37"/>
  <c r="I194" i="37"/>
  <c r="J194" i="37" s="1"/>
  <c r="M197" i="37"/>
  <c r="I197" i="37" s="1"/>
  <c r="J197" i="37" s="1"/>
  <c r="M198" i="37"/>
  <c r="I198" i="37"/>
  <c r="J198" i="37" s="1"/>
  <c r="M201" i="37"/>
  <c r="I201" i="37" s="1"/>
  <c r="J201" i="37" s="1"/>
  <c r="M202" i="37"/>
  <c r="I202" i="37" s="1"/>
  <c r="J202" i="37" s="1"/>
  <c r="M205" i="37"/>
  <c r="I205" i="37" s="1"/>
  <c r="J205" i="37" s="1"/>
  <c r="M206" i="37"/>
  <c r="I206" i="37" s="1"/>
  <c r="J206" i="37" s="1"/>
  <c r="M209" i="37"/>
  <c r="I209" i="37" s="1"/>
  <c r="J209" i="37" s="1"/>
  <c r="K190" i="37"/>
  <c r="L190" i="37" s="1"/>
  <c r="K192" i="37"/>
  <c r="L192" i="37" s="1"/>
  <c r="K193" i="37"/>
  <c r="K194" i="37"/>
  <c r="L194" i="37" s="1"/>
  <c r="K195" i="37"/>
  <c r="L195" i="37" s="1"/>
  <c r="K196" i="37"/>
  <c r="L196" i="37" s="1"/>
  <c r="K197" i="37"/>
  <c r="L197" i="37" s="1"/>
  <c r="K198" i="37"/>
  <c r="L198" i="37" s="1"/>
  <c r="K200" i="37"/>
  <c r="L200" i="37" s="1"/>
  <c r="K201" i="37"/>
  <c r="K202" i="37"/>
  <c r="L202" i="37" s="1"/>
  <c r="K203" i="37"/>
  <c r="L203" i="37" s="1"/>
  <c r="K204" i="37"/>
  <c r="L204" i="37" s="1"/>
  <c r="K205" i="37"/>
  <c r="L205" i="37" s="1"/>
  <c r="K206" i="37"/>
  <c r="L206" i="37" s="1"/>
  <c r="K208" i="37"/>
  <c r="L208" i="37" s="1"/>
  <c r="K209" i="37"/>
  <c r="L193" i="37"/>
  <c r="L201" i="37"/>
  <c r="L209" i="37"/>
  <c r="O193" i="37"/>
  <c r="Q192" i="37"/>
  <c r="Q193" i="37"/>
  <c r="Q194" i="37"/>
  <c r="Q196" i="37"/>
  <c r="Q197" i="37"/>
  <c r="Q198" i="37"/>
  <c r="Q200" i="37"/>
  <c r="Q201" i="37"/>
  <c r="Q202" i="37"/>
  <c r="Q204" i="37"/>
  <c r="Q205" i="37"/>
  <c r="Q206" i="37"/>
  <c r="Q208" i="37"/>
  <c r="Q209" i="37"/>
  <c r="M347" i="37"/>
  <c r="G119" i="16" s="1"/>
  <c r="E54" i="37"/>
  <c r="F54" i="37"/>
  <c r="G54" i="37"/>
  <c r="H54" i="37"/>
  <c r="O54" i="37" s="1"/>
  <c r="M54" i="37"/>
  <c r="K54" i="37"/>
  <c r="L54" i="37"/>
  <c r="N54" i="37"/>
  <c r="Q54" i="37"/>
  <c r="I345" i="37"/>
  <c r="E53" i="37"/>
  <c r="F53" i="37"/>
  <c r="G53" i="37"/>
  <c r="I344" i="37"/>
  <c r="E52" i="37"/>
  <c r="F52" i="37"/>
  <c r="G52" i="37"/>
  <c r="I343" i="37"/>
  <c r="E51" i="37"/>
  <c r="Q51" i="37" s="1"/>
  <c r="F51" i="37"/>
  <c r="G51" i="37"/>
  <c r="K51" i="37"/>
  <c r="L51" i="37" s="1"/>
  <c r="I342" i="37"/>
  <c r="E50" i="37"/>
  <c r="Q50" i="37" s="1"/>
  <c r="F50" i="37"/>
  <c r="G50" i="37"/>
  <c r="I341" i="37"/>
  <c r="E49" i="37"/>
  <c r="K49" i="37" s="1"/>
  <c r="L49" i="37" s="1"/>
  <c r="F49" i="37"/>
  <c r="G49" i="37"/>
  <c r="I340" i="37"/>
  <c r="E48" i="37"/>
  <c r="F48" i="37"/>
  <c r="G48" i="37"/>
  <c r="H48" i="37" s="1"/>
  <c r="M48" i="37"/>
  <c r="I339" i="37"/>
  <c r="E47" i="37"/>
  <c r="F47" i="37"/>
  <c r="G47" i="37"/>
  <c r="I338" i="37"/>
  <c r="E46" i="37"/>
  <c r="F46" i="37"/>
  <c r="G46" i="37"/>
  <c r="I337" i="37"/>
  <c r="E45" i="37"/>
  <c r="F45" i="37"/>
  <c r="G45" i="37"/>
  <c r="I336" i="37"/>
  <c r="E44" i="37"/>
  <c r="F44" i="37"/>
  <c r="G44" i="37"/>
  <c r="I335" i="37"/>
  <c r="E43" i="37"/>
  <c r="F43" i="37"/>
  <c r="G43" i="37"/>
  <c r="I334" i="37"/>
  <c r="E42" i="37"/>
  <c r="Q42" i="37" s="1"/>
  <c r="F42" i="37"/>
  <c r="K42" i="37" s="1"/>
  <c r="L42" i="37" s="1"/>
  <c r="G42" i="37"/>
  <c r="I333" i="37"/>
  <c r="E41" i="37"/>
  <c r="H41" i="37" s="1"/>
  <c r="F41" i="37"/>
  <c r="G41" i="37"/>
  <c r="I332" i="37"/>
  <c r="E40" i="37"/>
  <c r="H40" i="37" s="1"/>
  <c r="F40" i="37"/>
  <c r="G40" i="37"/>
  <c r="I331" i="37"/>
  <c r="E39" i="37"/>
  <c r="Q39" i="37" s="1"/>
  <c r="F39" i="37"/>
  <c r="G39" i="37"/>
  <c r="I330" i="37"/>
  <c r="E38" i="37"/>
  <c r="F38" i="37"/>
  <c r="K38" i="37" s="1"/>
  <c r="L38" i="37" s="1"/>
  <c r="G38" i="37"/>
  <c r="Q38" i="37"/>
  <c r="I329" i="37"/>
  <c r="E37" i="37"/>
  <c r="Q37" i="37" s="1"/>
  <c r="F37" i="37"/>
  <c r="G37" i="37"/>
  <c r="I328" i="37"/>
  <c r="I327" i="37"/>
  <c r="I326" i="37"/>
  <c r="I325" i="37"/>
  <c r="I324" i="37"/>
  <c r="I323" i="37"/>
  <c r="I322" i="37"/>
  <c r="I321" i="37"/>
  <c r="I320" i="37"/>
  <c r="I319" i="37"/>
  <c r="I318" i="37"/>
  <c r="I317" i="37"/>
  <c r="I316" i="37"/>
  <c r="I315" i="37"/>
  <c r="I314" i="37"/>
  <c r="I313" i="37"/>
  <c r="I312" i="37"/>
  <c r="I311" i="37"/>
  <c r="I310" i="37"/>
  <c r="I308" i="37"/>
  <c r="P17" i="46"/>
  <c r="K17" i="46"/>
  <c r="G20" i="46"/>
  <c r="E12" i="38"/>
  <c r="G23" i="56"/>
  <c r="G28" i="56"/>
  <c r="F29" i="56"/>
  <c r="H27" i="56"/>
  <c r="F34" i="56"/>
  <c r="G34" i="56" s="1"/>
  <c r="G46" i="56"/>
  <c r="G32" i="56"/>
  <c r="I32" i="56" s="1"/>
  <c r="G31" i="56"/>
  <c r="G25" i="56"/>
  <c r="G22" i="56"/>
  <c r="G21" i="56"/>
  <c r="G19" i="56"/>
  <c r="G18" i="56"/>
  <c r="G17" i="56"/>
  <c r="G13" i="56"/>
  <c r="G12" i="56"/>
  <c r="G11" i="56"/>
  <c r="G7" i="56"/>
  <c r="H580" i="57"/>
  <c r="H581" i="57" s="1"/>
  <c r="L576" i="57" s="1"/>
  <c r="E46" i="56" s="1"/>
  <c r="H571" i="57"/>
  <c r="H568" i="57"/>
  <c r="G543" i="57"/>
  <c r="G544" i="57" s="1"/>
  <c r="L538" i="57" s="1"/>
  <c r="E43" i="56" s="1"/>
  <c r="H532" i="57"/>
  <c r="H495" i="57"/>
  <c r="H492" i="57"/>
  <c r="H496" i="57" s="1"/>
  <c r="L487" i="57" s="1"/>
  <c r="E40" i="56" s="1"/>
  <c r="G200" i="16" s="1"/>
  <c r="K200" i="16" s="1"/>
  <c r="G483" i="57"/>
  <c r="G484" i="57" s="1"/>
  <c r="L478" i="57" s="1"/>
  <c r="E39" i="56" s="1"/>
  <c r="H474" i="57"/>
  <c r="H471" i="57"/>
  <c r="H439" i="57"/>
  <c r="H436" i="57"/>
  <c r="H440" i="57" s="1"/>
  <c r="L431" i="57" s="1"/>
  <c r="E36" i="56" s="1"/>
  <c r="G196" i="16" s="1"/>
  <c r="K196" i="16" s="1"/>
  <c r="G427" i="57"/>
  <c r="L423" i="57" s="1"/>
  <c r="E35" i="56" s="1"/>
  <c r="H419" i="57"/>
  <c r="H416" i="57"/>
  <c r="L378" i="57"/>
  <c r="E31" i="56" s="1"/>
  <c r="H373" i="57"/>
  <c r="H374" i="57" s="1"/>
  <c r="L368" i="57" s="1"/>
  <c r="H340" i="57"/>
  <c r="H341" i="57" s="1"/>
  <c r="L335" i="57" s="1"/>
  <c r="E25" i="56" s="1"/>
  <c r="G295" i="57"/>
  <c r="H276" i="57"/>
  <c r="H275" i="57"/>
  <c r="H274" i="57"/>
  <c r="H273" i="57"/>
  <c r="H272" i="57"/>
  <c r="H271" i="57"/>
  <c r="H270" i="57"/>
  <c r="H269" i="57"/>
  <c r="H268" i="57"/>
  <c r="H267" i="57"/>
  <c r="H266" i="57"/>
  <c r="H265" i="57"/>
  <c r="H264" i="57"/>
  <c r="H263" i="57"/>
  <c r="H262" i="57"/>
  <c r="H261" i="57"/>
  <c r="H260" i="57"/>
  <c r="H259" i="57"/>
  <c r="G226" i="57"/>
  <c r="G227" i="57" s="1"/>
  <c r="L204" i="57" s="1"/>
  <c r="E21" i="56" s="1"/>
  <c r="H197" i="57"/>
  <c r="H196" i="57"/>
  <c r="H190" i="57"/>
  <c r="H189" i="57"/>
  <c r="L175" i="57"/>
  <c r="H169" i="57"/>
  <c r="H164" i="57"/>
  <c r="H162" i="57"/>
  <c r="G130" i="57"/>
  <c r="G131" i="57" s="1"/>
  <c r="L126" i="57" s="1"/>
  <c r="H121" i="57"/>
  <c r="H119" i="57"/>
  <c r="H118" i="57"/>
  <c r="G110" i="57"/>
  <c r="G111" i="57" s="1"/>
  <c r="L106" i="57" s="1"/>
  <c r="E12" i="56" s="1"/>
  <c r="L9" i="57"/>
  <c r="E7" i="56" s="1"/>
  <c r="G167" i="16" s="1"/>
  <c r="K167" i="16" s="1"/>
  <c r="L46" i="56"/>
  <c r="L45" i="56"/>
  <c r="L44" i="56"/>
  <c r="L43" i="56"/>
  <c r="L42" i="56"/>
  <c r="L41" i="56"/>
  <c r="L40" i="56"/>
  <c r="L39" i="56"/>
  <c r="L38" i="56"/>
  <c r="L37" i="56"/>
  <c r="L36" i="56"/>
  <c r="L35" i="56"/>
  <c r="L34" i="56"/>
  <c r="L33" i="56"/>
  <c r="L32" i="56"/>
  <c r="L31" i="56"/>
  <c r="L30" i="56"/>
  <c r="L29" i="56"/>
  <c r="L28" i="56"/>
  <c r="L27" i="56"/>
  <c r="L26" i="56"/>
  <c r="L25" i="56"/>
  <c r="L24" i="56"/>
  <c r="L23" i="56"/>
  <c r="L22" i="56"/>
  <c r="L21" i="56"/>
  <c r="L20" i="56"/>
  <c r="L19" i="56"/>
  <c r="L18" i="56"/>
  <c r="L17" i="56"/>
  <c r="L16" i="56"/>
  <c r="L15" i="56"/>
  <c r="L14" i="56"/>
  <c r="I14" i="56"/>
  <c r="L13" i="56"/>
  <c r="L12" i="56"/>
  <c r="L11" i="56"/>
  <c r="L10" i="56"/>
  <c r="L7" i="56"/>
  <c r="I18" i="39"/>
  <c r="AK306" i="37"/>
  <c r="B335" i="37"/>
  <c r="H335" i="37" s="1"/>
  <c r="L335" i="37" s="1"/>
  <c r="P335" i="37" s="1"/>
  <c r="B342" i="37"/>
  <c r="H342" i="37" s="1"/>
  <c r="L342" i="37" s="1"/>
  <c r="P342" i="37" s="1"/>
  <c r="B343" i="37"/>
  <c r="H343" i="37"/>
  <c r="L343" i="37" s="1"/>
  <c r="P343" i="37" s="1"/>
  <c r="B344" i="37"/>
  <c r="H344" i="37" s="1"/>
  <c r="L344" i="37" s="1"/>
  <c r="P344" i="37" s="1"/>
  <c r="B345" i="37"/>
  <c r="H345" i="37" s="1"/>
  <c r="L345" i="37" s="1"/>
  <c r="P345" i="37" s="1"/>
  <c r="B339" i="37"/>
  <c r="H339" i="37" s="1"/>
  <c r="L339" i="37" s="1"/>
  <c r="P339" i="37" s="1"/>
  <c r="B340" i="37"/>
  <c r="H340" i="37" s="1"/>
  <c r="L340" i="37" s="1"/>
  <c r="P340" i="37" s="1"/>
  <c r="B341" i="37"/>
  <c r="H341" i="37" s="1"/>
  <c r="L341" i="37" s="1"/>
  <c r="P341" i="37" s="1"/>
  <c r="B333" i="37"/>
  <c r="H333" i="37" s="1"/>
  <c r="L333" i="37" s="1"/>
  <c r="P333" i="37" s="1"/>
  <c r="B334" i="37"/>
  <c r="H334" i="37" s="1"/>
  <c r="L334" i="37" s="1"/>
  <c r="P334" i="37" s="1"/>
  <c r="B336" i="37"/>
  <c r="H336" i="37" s="1"/>
  <c r="L336" i="37" s="1"/>
  <c r="P336" i="37" s="1"/>
  <c r="B337" i="37"/>
  <c r="H337" i="37" s="1"/>
  <c r="L337" i="37" s="1"/>
  <c r="P337" i="37" s="1"/>
  <c r="B338" i="37"/>
  <c r="H338" i="37"/>
  <c r="L338" i="37" s="1"/>
  <c r="P338" i="37" s="1"/>
  <c r="B328" i="37"/>
  <c r="H328" i="37" s="1"/>
  <c r="L328" i="37" s="1"/>
  <c r="P328" i="37" s="1"/>
  <c r="B329" i="37"/>
  <c r="H329" i="37"/>
  <c r="L329" i="37" s="1"/>
  <c r="P329" i="37" s="1"/>
  <c r="B330" i="37"/>
  <c r="H330" i="37" s="1"/>
  <c r="L330" i="37" s="1"/>
  <c r="P330" i="37" s="1"/>
  <c r="B331" i="37"/>
  <c r="H331" i="37" s="1"/>
  <c r="L331" i="37" s="1"/>
  <c r="P331" i="37" s="1"/>
  <c r="B332" i="37"/>
  <c r="H332" i="37" s="1"/>
  <c r="L332" i="37" s="1"/>
  <c r="P332" i="37" s="1"/>
  <c r="A261" i="37"/>
  <c r="A310" i="37" s="1"/>
  <c r="G310" i="37" s="1"/>
  <c r="K310" i="37" s="1"/>
  <c r="O310" i="37" s="1"/>
  <c r="A262" i="37"/>
  <c r="A311" i="37" s="1"/>
  <c r="G311" i="37" s="1"/>
  <c r="K311" i="37" s="1"/>
  <c r="O311" i="37" s="1"/>
  <c r="A263" i="37"/>
  <c r="A312" i="37"/>
  <c r="G312" i="37" s="1"/>
  <c r="K312" i="37" s="1"/>
  <c r="O312" i="37" s="1"/>
  <c r="A264" i="37"/>
  <c r="A313" i="37" s="1"/>
  <c r="G313" i="37" s="1"/>
  <c r="K313" i="37" s="1"/>
  <c r="O313" i="37" s="1"/>
  <c r="A265" i="37"/>
  <c r="A314" i="37"/>
  <c r="G314" i="37"/>
  <c r="K314" i="37" s="1"/>
  <c r="O314" i="37" s="1"/>
  <c r="A266" i="37"/>
  <c r="A315" i="37" s="1"/>
  <c r="G315" i="37" s="1"/>
  <c r="K315" i="37" s="1"/>
  <c r="O315" i="37" s="1"/>
  <c r="A267" i="37"/>
  <c r="A316" i="37" s="1"/>
  <c r="G316" i="37" s="1"/>
  <c r="K316" i="37" s="1"/>
  <c r="O316" i="37" s="1"/>
  <c r="A268" i="37"/>
  <c r="A317" i="37" s="1"/>
  <c r="G317" i="37" s="1"/>
  <c r="K317" i="37" s="1"/>
  <c r="O317" i="37" s="1"/>
  <c r="A269" i="37"/>
  <c r="A318" i="37"/>
  <c r="G318" i="37" s="1"/>
  <c r="K318" i="37" s="1"/>
  <c r="O318" i="37" s="1"/>
  <c r="A270" i="37"/>
  <c r="A319" i="37" s="1"/>
  <c r="G319" i="37" s="1"/>
  <c r="K319" i="37" s="1"/>
  <c r="O319" i="37" s="1"/>
  <c r="A271" i="37"/>
  <c r="A320" i="37" s="1"/>
  <c r="G320" i="37" s="1"/>
  <c r="K320" i="37" s="1"/>
  <c r="O320" i="37" s="1"/>
  <c r="A272" i="37"/>
  <c r="A321" i="37"/>
  <c r="G321" i="37" s="1"/>
  <c r="K321" i="37" s="1"/>
  <c r="O321" i="37" s="1"/>
  <c r="A273" i="37"/>
  <c r="G273" i="37" s="1"/>
  <c r="K273" i="37" s="1"/>
  <c r="A274" i="37"/>
  <c r="A323" i="37" s="1"/>
  <c r="G323" i="37" s="1"/>
  <c r="K323" i="37" s="1"/>
  <c r="O323" i="37" s="1"/>
  <c r="A275" i="37"/>
  <c r="A324" i="37" s="1"/>
  <c r="G324" i="37" s="1"/>
  <c r="K324" i="37" s="1"/>
  <c r="O324" i="37" s="1"/>
  <c r="A276" i="37"/>
  <c r="A325" i="37" s="1"/>
  <c r="G325" i="37" s="1"/>
  <c r="K325" i="37" s="1"/>
  <c r="O325" i="37" s="1"/>
  <c r="A277" i="37"/>
  <c r="A326" i="37" s="1"/>
  <c r="G326" i="37" s="1"/>
  <c r="K326" i="37" s="1"/>
  <c r="O326" i="37" s="1"/>
  <c r="A278" i="37"/>
  <c r="A327" i="37" s="1"/>
  <c r="G327" i="37" s="1"/>
  <c r="K327" i="37" s="1"/>
  <c r="O327" i="37" s="1"/>
  <c r="A279" i="37"/>
  <c r="G279" i="37"/>
  <c r="K279" i="37" s="1"/>
  <c r="A280" i="37"/>
  <c r="G280" i="37" s="1"/>
  <c r="K280" i="37" s="1"/>
  <c r="A281" i="37"/>
  <c r="A330" i="37" s="1"/>
  <c r="G330" i="37" s="1"/>
  <c r="K330" i="37" s="1"/>
  <c r="O330" i="37" s="1"/>
  <c r="A282" i="37"/>
  <c r="G282" i="37" s="1"/>
  <c r="K282" i="37" s="1"/>
  <c r="A283" i="37"/>
  <c r="G283" i="37" s="1"/>
  <c r="K283" i="37" s="1"/>
  <c r="A284" i="37"/>
  <c r="G284" i="37" s="1"/>
  <c r="K284" i="37" s="1"/>
  <c r="A333" i="37"/>
  <c r="G333" i="37" s="1"/>
  <c r="K333" i="37" s="1"/>
  <c r="O333" i="37" s="1"/>
  <c r="A285" i="37"/>
  <c r="A334" i="37" s="1"/>
  <c r="G334" i="37" s="1"/>
  <c r="K334" i="37" s="1"/>
  <c r="O334" i="37" s="1"/>
  <c r="A286" i="37"/>
  <c r="G286" i="37"/>
  <c r="K286" i="37" s="1"/>
  <c r="A287" i="37"/>
  <c r="G287" i="37" s="1"/>
  <c r="K287" i="37" s="1"/>
  <c r="A288" i="37"/>
  <c r="A337" i="37" s="1"/>
  <c r="G337" i="37" s="1"/>
  <c r="K337" i="37" s="1"/>
  <c r="O337" i="37" s="1"/>
  <c r="A289" i="37"/>
  <c r="A338" i="37"/>
  <c r="G338" i="37" s="1"/>
  <c r="K338" i="37" s="1"/>
  <c r="O338" i="37" s="1"/>
  <c r="A290" i="37"/>
  <c r="A339" i="37" s="1"/>
  <c r="G339" i="37" s="1"/>
  <c r="K339" i="37" s="1"/>
  <c r="O339" i="37" s="1"/>
  <c r="A291" i="37"/>
  <c r="A340" i="37" s="1"/>
  <c r="G340" i="37" s="1"/>
  <c r="K340" i="37" s="1"/>
  <c r="O340" i="37" s="1"/>
  <c r="A292" i="37"/>
  <c r="A341" i="37" s="1"/>
  <c r="G341" i="37" s="1"/>
  <c r="K341" i="37" s="1"/>
  <c r="O341" i="37" s="1"/>
  <c r="A293" i="37"/>
  <c r="G293" i="37" s="1"/>
  <c r="K293" i="37" s="1"/>
  <c r="A294" i="37"/>
  <c r="G294" i="37" s="1"/>
  <c r="K294" i="37" s="1"/>
  <c r="A343" i="37"/>
  <c r="G343" i="37" s="1"/>
  <c r="K343" i="37" s="1"/>
  <c r="O343" i="37" s="1"/>
  <c r="A295" i="37"/>
  <c r="A344" i="37" s="1"/>
  <c r="G344" i="37" s="1"/>
  <c r="K344" i="37" s="1"/>
  <c r="O344" i="37" s="1"/>
  <c r="A296" i="37"/>
  <c r="G296" i="37"/>
  <c r="K296" i="37" s="1"/>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B37" i="37"/>
  <c r="B38" i="37"/>
  <c r="B39" i="37"/>
  <c r="B40" i="37"/>
  <c r="B41" i="37"/>
  <c r="B42" i="37"/>
  <c r="B43" i="37"/>
  <c r="B44" i="37"/>
  <c r="B45" i="37"/>
  <c r="B46" i="37"/>
  <c r="B47" i="37"/>
  <c r="B48" i="37"/>
  <c r="B49" i="37"/>
  <c r="B50" i="37"/>
  <c r="B51" i="37"/>
  <c r="B52" i="37"/>
  <c r="B53" i="37"/>
  <c r="B54" i="37"/>
  <c r="B279" i="37"/>
  <c r="H279" i="37" s="1"/>
  <c r="L279" i="37" s="1"/>
  <c r="B280" i="37"/>
  <c r="H280" i="37" s="1"/>
  <c r="L280" i="37" s="1"/>
  <c r="B281" i="37"/>
  <c r="H281" i="37" s="1"/>
  <c r="L281" i="37" s="1"/>
  <c r="B282" i="37"/>
  <c r="H282" i="37" s="1"/>
  <c r="L282" i="37" s="1"/>
  <c r="B283" i="37"/>
  <c r="H283" i="37" s="1"/>
  <c r="L283" i="37" s="1"/>
  <c r="B284" i="37"/>
  <c r="H284" i="37" s="1"/>
  <c r="L284" i="37" s="1"/>
  <c r="B285" i="37"/>
  <c r="H285" i="37" s="1"/>
  <c r="L285" i="37" s="1"/>
  <c r="B286" i="37"/>
  <c r="H286" i="37" s="1"/>
  <c r="L286" i="37" s="1"/>
  <c r="B287" i="37"/>
  <c r="H287" i="37" s="1"/>
  <c r="L287" i="37" s="1"/>
  <c r="B288" i="37"/>
  <c r="H288" i="37" s="1"/>
  <c r="L288" i="37" s="1"/>
  <c r="B289" i="37"/>
  <c r="H289" i="37" s="1"/>
  <c r="L289" i="37" s="1"/>
  <c r="B290" i="37"/>
  <c r="H290" i="37"/>
  <c r="L290" i="37" s="1"/>
  <c r="B291" i="37"/>
  <c r="H291" i="37" s="1"/>
  <c r="L291" i="37" s="1"/>
  <c r="B292" i="37"/>
  <c r="H292" i="37" s="1"/>
  <c r="L292" i="37" s="1"/>
  <c r="B293" i="37"/>
  <c r="H293" i="37" s="1"/>
  <c r="L293" i="37" s="1"/>
  <c r="B294" i="37"/>
  <c r="H294" i="37" s="1"/>
  <c r="L294" i="37" s="1"/>
  <c r="B295" i="37"/>
  <c r="H295" i="37" s="1"/>
  <c r="L295" i="37" s="1"/>
  <c r="B296" i="37"/>
  <c r="H296" i="37" s="1"/>
  <c r="L296" i="37" s="1"/>
  <c r="G50" i="54"/>
  <c r="G49" i="54"/>
  <c r="G48" i="54"/>
  <c r="G47" i="54"/>
  <c r="G46" i="54"/>
  <c r="G45" i="54"/>
  <c r="G44" i="54"/>
  <c r="G43" i="54"/>
  <c r="G42" i="54"/>
  <c r="G41" i="54"/>
  <c r="G40" i="54"/>
  <c r="G39" i="54"/>
  <c r="G38" i="54"/>
  <c r="G37" i="54"/>
  <c r="G36" i="54"/>
  <c r="G35" i="54"/>
  <c r="G34" i="54"/>
  <c r="A42" i="54"/>
  <c r="A43" i="54"/>
  <c r="A44" i="54"/>
  <c r="A45" i="54"/>
  <c r="A46" i="54"/>
  <c r="A47" i="54"/>
  <c r="A48" i="54"/>
  <c r="G33" i="54"/>
  <c r="A33" i="54"/>
  <c r="A34" i="54"/>
  <c r="A35" i="54"/>
  <c r="A36" i="54"/>
  <c r="A37" i="54"/>
  <c r="A38" i="54"/>
  <c r="A39" i="54"/>
  <c r="A40" i="54"/>
  <c r="A41" i="54"/>
  <c r="G32" i="54"/>
  <c r="G29" i="54"/>
  <c r="G28" i="54"/>
  <c r="G27" i="54"/>
  <c r="G26" i="54"/>
  <c r="G25" i="54"/>
  <c r="G24" i="54"/>
  <c r="G23" i="54"/>
  <c r="G22" i="54"/>
  <c r="G21" i="54"/>
  <c r="G20" i="54"/>
  <c r="G19" i="54"/>
  <c r="G18" i="54"/>
  <c r="G15" i="54"/>
  <c r="G14" i="54"/>
  <c r="G16" i="54"/>
  <c r="G54" i="54"/>
  <c r="C10" i="54"/>
  <c r="B7" i="54"/>
  <c r="G46" i="53"/>
  <c r="G45" i="53"/>
  <c r="G44" i="53"/>
  <c r="G43" i="53"/>
  <c r="G42" i="53"/>
  <c r="G41" i="53"/>
  <c r="G40" i="53"/>
  <c r="G39" i="53"/>
  <c r="G38" i="53"/>
  <c r="G37" i="53"/>
  <c r="E36" i="53"/>
  <c r="G36" i="53"/>
  <c r="E35" i="53"/>
  <c r="G35" i="53"/>
  <c r="E34" i="53"/>
  <c r="G34" i="53"/>
  <c r="E33" i="53"/>
  <c r="G33" i="53"/>
  <c r="A33" i="53"/>
  <c r="A34" i="53"/>
  <c r="A35" i="53"/>
  <c r="A36" i="53"/>
  <c r="A37" i="53"/>
  <c r="A38" i="53"/>
  <c r="G32" i="53"/>
  <c r="G29" i="53"/>
  <c r="G28" i="53"/>
  <c r="G27" i="53"/>
  <c r="G26" i="53"/>
  <c r="G25" i="53"/>
  <c r="G24" i="53"/>
  <c r="G23" i="53"/>
  <c r="G22" i="53"/>
  <c r="G21" i="53"/>
  <c r="G20" i="53"/>
  <c r="G19" i="53"/>
  <c r="G30" i="53"/>
  <c r="G51" i="53"/>
  <c r="G18" i="53"/>
  <c r="E15" i="53"/>
  <c r="G15" i="53"/>
  <c r="G14" i="53"/>
  <c r="C10" i="53"/>
  <c r="AH212" i="37"/>
  <c r="A331" i="37"/>
  <c r="G331" i="37" s="1"/>
  <c r="K331" i="37" s="1"/>
  <c r="O331" i="37" s="1"/>
  <c r="A329" i="37"/>
  <c r="G329" i="37" s="1"/>
  <c r="K329" i="37" s="1"/>
  <c r="O329" i="37" s="1"/>
  <c r="A328" i="37"/>
  <c r="G328" i="37" s="1"/>
  <c r="K328" i="37" s="1"/>
  <c r="O328" i="37" s="1"/>
  <c r="E57" i="46"/>
  <c r="G57" i="46" s="1"/>
  <c r="H57" i="46" s="1"/>
  <c r="E56" i="46"/>
  <c r="J59" i="46"/>
  <c r="D59" i="46"/>
  <c r="C59" i="46"/>
  <c r="C60" i="46" s="1"/>
  <c r="E59" i="46"/>
  <c r="V59" i="46" s="1"/>
  <c r="P59" i="46"/>
  <c r="R59" i="46" s="1"/>
  <c r="AB59" i="46"/>
  <c r="J58" i="46"/>
  <c r="D58" i="46"/>
  <c r="D60" i="46" s="1"/>
  <c r="E58" i="46"/>
  <c r="V58" i="46" s="1"/>
  <c r="AB58" i="46"/>
  <c r="AB57" i="46"/>
  <c r="AB56" i="46"/>
  <c r="J55" i="46"/>
  <c r="E55" i="46"/>
  <c r="I55" i="46" s="1"/>
  <c r="AB55" i="46"/>
  <c r="M54" i="39"/>
  <c r="D55" i="39"/>
  <c r="C55" i="39"/>
  <c r="J55" i="39" s="1"/>
  <c r="B55" i="39"/>
  <c r="A55" i="39"/>
  <c r="Z55" i="39"/>
  <c r="D54" i="39"/>
  <c r="C54" i="39"/>
  <c r="J54" i="39" s="1"/>
  <c r="X54" i="39"/>
  <c r="B54" i="39"/>
  <c r="A54" i="39"/>
  <c r="Z54" i="39"/>
  <c r="D53" i="39"/>
  <c r="C53" i="39"/>
  <c r="M53" i="39"/>
  <c r="B53" i="39"/>
  <c r="A53" i="39"/>
  <c r="Z53" i="39"/>
  <c r="B24" i="37"/>
  <c r="B25" i="37"/>
  <c r="B26" i="37"/>
  <c r="B27" i="37"/>
  <c r="B28" i="37"/>
  <c r="B29" i="37"/>
  <c r="B30" i="37"/>
  <c r="B31" i="37"/>
  <c r="B32" i="37"/>
  <c r="B33" i="37"/>
  <c r="B34" i="37"/>
  <c r="B35" i="37"/>
  <c r="B36" i="37"/>
  <c r="H309" i="37"/>
  <c r="L309" i="37" s="1"/>
  <c r="H310" i="37"/>
  <c r="L310" i="37" s="1"/>
  <c r="P310" i="37" s="1"/>
  <c r="H312" i="37"/>
  <c r="L312" i="37" s="1"/>
  <c r="P312" i="37" s="1"/>
  <c r="H313" i="37"/>
  <c r="L313" i="37" s="1"/>
  <c r="P313" i="37" s="1"/>
  <c r="H314" i="37"/>
  <c r="L314" i="37" s="1"/>
  <c r="P314" i="37" s="1"/>
  <c r="H315" i="37"/>
  <c r="L315" i="37" s="1"/>
  <c r="P315" i="37" s="1"/>
  <c r="H316" i="37"/>
  <c r="L316" i="37" s="1"/>
  <c r="P316" i="37" s="1"/>
  <c r="B317" i="37"/>
  <c r="H317" i="37" s="1"/>
  <c r="L317" i="37" s="1"/>
  <c r="P317" i="37" s="1"/>
  <c r="B318" i="37"/>
  <c r="H318" i="37" s="1"/>
  <c r="L318" i="37" s="1"/>
  <c r="P318" i="37" s="1"/>
  <c r="B319" i="37"/>
  <c r="H319" i="37"/>
  <c r="L319" i="37" s="1"/>
  <c r="P319" i="37" s="1"/>
  <c r="B320" i="37"/>
  <c r="H320" i="37" s="1"/>
  <c r="L320" i="37" s="1"/>
  <c r="P320" i="37" s="1"/>
  <c r="B321" i="37"/>
  <c r="H321" i="37" s="1"/>
  <c r="L321" i="37" s="1"/>
  <c r="P321" i="37" s="1"/>
  <c r="B322" i="37"/>
  <c r="H322" i="37" s="1"/>
  <c r="L322" i="37" s="1"/>
  <c r="P322" i="37" s="1"/>
  <c r="B323" i="37"/>
  <c r="H323" i="37" s="1"/>
  <c r="L323" i="37" s="1"/>
  <c r="P323" i="37" s="1"/>
  <c r="B324" i="37"/>
  <c r="H324" i="37"/>
  <c r="L324" i="37" s="1"/>
  <c r="P324" i="37" s="1"/>
  <c r="B325" i="37"/>
  <c r="H325" i="37"/>
  <c r="L325" i="37" s="1"/>
  <c r="P325" i="37" s="1"/>
  <c r="B326" i="37"/>
  <c r="H326" i="37"/>
  <c r="L326" i="37" s="1"/>
  <c r="P326" i="37" s="1"/>
  <c r="B327" i="37"/>
  <c r="H327" i="37" s="1"/>
  <c r="L327" i="37" s="1"/>
  <c r="P327" i="37" s="1"/>
  <c r="H260" i="37"/>
  <c r="L260" i="37" s="1"/>
  <c r="B261" i="37"/>
  <c r="H261" i="37" s="1"/>
  <c r="L261" i="37" s="1"/>
  <c r="B262" i="37"/>
  <c r="H262" i="37" s="1"/>
  <c r="L262" i="37" s="1"/>
  <c r="B263" i="37"/>
  <c r="H263" i="37" s="1"/>
  <c r="L263" i="37" s="1"/>
  <c r="B264" i="37"/>
  <c r="H264" i="37" s="1"/>
  <c r="L264" i="37" s="1"/>
  <c r="B265" i="37"/>
  <c r="H265" i="37"/>
  <c r="L265" i="37" s="1"/>
  <c r="B266" i="37"/>
  <c r="H266" i="37"/>
  <c r="L266" i="37" s="1"/>
  <c r="B267" i="37"/>
  <c r="H267" i="37"/>
  <c r="L267" i="37" s="1"/>
  <c r="B268" i="37"/>
  <c r="H268" i="37"/>
  <c r="L268" i="37" s="1"/>
  <c r="B269" i="37"/>
  <c r="H269" i="37" s="1"/>
  <c r="L269" i="37" s="1"/>
  <c r="B270" i="37"/>
  <c r="H270" i="37" s="1"/>
  <c r="L270" i="37" s="1"/>
  <c r="B271" i="37"/>
  <c r="H271" i="37" s="1"/>
  <c r="L271" i="37" s="1"/>
  <c r="B272" i="37"/>
  <c r="H272" i="37" s="1"/>
  <c r="L272" i="37" s="1"/>
  <c r="B273" i="37"/>
  <c r="H273" i="37" s="1"/>
  <c r="L273" i="37" s="1"/>
  <c r="B274" i="37"/>
  <c r="H274" i="37" s="1"/>
  <c r="L274" i="37" s="1"/>
  <c r="B275" i="37"/>
  <c r="H275" i="37" s="1"/>
  <c r="L275" i="37" s="1"/>
  <c r="B276" i="37"/>
  <c r="H276" i="37"/>
  <c r="L276" i="37" s="1"/>
  <c r="B277" i="37"/>
  <c r="H277" i="37" s="1"/>
  <c r="L277" i="37" s="1"/>
  <c r="B278" i="37"/>
  <c r="H278" i="37" s="1"/>
  <c r="L278" i="37" s="1"/>
  <c r="U34" i="46"/>
  <c r="O34" i="46"/>
  <c r="F34" i="46"/>
  <c r="J34" i="46"/>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A95" i="37"/>
  <c r="A94" i="37"/>
  <c r="A93" i="37"/>
  <c r="A92" i="37"/>
  <c r="A91" i="37"/>
  <c r="A90" i="37"/>
  <c r="A89" i="37"/>
  <c r="A88" i="37"/>
  <c r="A87" i="37"/>
  <c r="A86" i="37"/>
  <c r="A85" i="37"/>
  <c r="A84" i="37"/>
  <c r="A83" i="37"/>
  <c r="A82" i="37"/>
  <c r="A81" i="37"/>
  <c r="A96" i="37"/>
  <c r="A97" i="37"/>
  <c r="A66" i="37"/>
  <c r="A67" i="37"/>
  <c r="A68" i="37"/>
  <c r="A69" i="37"/>
  <c r="A70" i="37"/>
  <c r="A71" i="37"/>
  <c r="A72" i="37"/>
  <c r="A73" i="37"/>
  <c r="A74" i="37"/>
  <c r="A75" i="37"/>
  <c r="A76" i="37"/>
  <c r="A77" i="37"/>
  <c r="A78" i="37"/>
  <c r="A79" i="37"/>
  <c r="A80" i="37"/>
  <c r="J53" i="46"/>
  <c r="K53" i="46" s="1"/>
  <c r="AB53" i="46"/>
  <c r="J52" i="46"/>
  <c r="K52" i="46" s="1"/>
  <c r="AB52" i="46"/>
  <c r="A21" i="46"/>
  <c r="AB21" i="46" s="1"/>
  <c r="AB22" i="46"/>
  <c r="AB23" i="46"/>
  <c r="AB24" i="46"/>
  <c r="AB25" i="46"/>
  <c r="AB26" i="46"/>
  <c r="AB27" i="46"/>
  <c r="AB28" i="46"/>
  <c r="AB29" i="46"/>
  <c r="AB30" i="46"/>
  <c r="AB31" i="46"/>
  <c r="AB32" i="46"/>
  <c r="AB33" i="46"/>
  <c r="AB34" i="46"/>
  <c r="AB35" i="46"/>
  <c r="AB36" i="46"/>
  <c r="AB37" i="46"/>
  <c r="AB38" i="46"/>
  <c r="AB39" i="46"/>
  <c r="AB40" i="46"/>
  <c r="AB41" i="46"/>
  <c r="AB42" i="46"/>
  <c r="AB43" i="46"/>
  <c r="AB44" i="46"/>
  <c r="AB45" i="46"/>
  <c r="AB46" i="46"/>
  <c r="AB47" i="46"/>
  <c r="AB48" i="46"/>
  <c r="AB49" i="46"/>
  <c r="AB50" i="46"/>
  <c r="AB51" i="46"/>
  <c r="AB54" i="46"/>
  <c r="J54" i="46"/>
  <c r="J51" i="46"/>
  <c r="J50" i="46"/>
  <c r="J49" i="46"/>
  <c r="J48" i="46"/>
  <c r="K48" i="46" s="1"/>
  <c r="J47" i="46"/>
  <c r="J46" i="46"/>
  <c r="K46" i="46" s="1"/>
  <c r="J45" i="46"/>
  <c r="J44" i="46"/>
  <c r="J43" i="46"/>
  <c r="K43" i="46" s="1"/>
  <c r="J42" i="46"/>
  <c r="J41" i="46"/>
  <c r="J40" i="46"/>
  <c r="J39" i="46"/>
  <c r="J38" i="46"/>
  <c r="J37" i="46"/>
  <c r="B46" i="39"/>
  <c r="D23" i="39"/>
  <c r="D24" i="39"/>
  <c r="D25" i="39"/>
  <c r="D26" i="39"/>
  <c r="D27" i="39"/>
  <c r="D28" i="39"/>
  <c r="D29" i="39"/>
  <c r="D30" i="39"/>
  <c r="D31" i="39"/>
  <c r="D32" i="39"/>
  <c r="D33" i="39"/>
  <c r="D34" i="39"/>
  <c r="D35" i="39"/>
  <c r="D36" i="39"/>
  <c r="N36" i="39" s="1"/>
  <c r="X36" i="39"/>
  <c r="D37" i="39"/>
  <c r="D38" i="39"/>
  <c r="D39" i="39"/>
  <c r="D40" i="39"/>
  <c r="D41" i="39"/>
  <c r="D42" i="39"/>
  <c r="N42" i="39" s="1"/>
  <c r="P42" i="39" s="1"/>
  <c r="Q42" i="39" s="1"/>
  <c r="D43" i="39"/>
  <c r="D44" i="39"/>
  <c r="D45" i="39"/>
  <c r="D46" i="39"/>
  <c r="X46" i="39"/>
  <c r="D47" i="39"/>
  <c r="D48" i="39"/>
  <c r="D49" i="39"/>
  <c r="X49" i="39" s="1"/>
  <c r="D50" i="39"/>
  <c r="M50" i="39" s="1"/>
  <c r="D51" i="39"/>
  <c r="D52" i="39"/>
  <c r="X52" i="39" s="1"/>
  <c r="C23" i="39"/>
  <c r="C24" i="39"/>
  <c r="H24" i="39"/>
  <c r="F24" i="39" s="1"/>
  <c r="C25" i="39"/>
  <c r="J25" i="39"/>
  <c r="C26" i="39"/>
  <c r="M26" i="39" s="1"/>
  <c r="C27" i="39"/>
  <c r="C28" i="39"/>
  <c r="C29" i="39"/>
  <c r="X29" i="39" s="1"/>
  <c r="N29" i="39"/>
  <c r="U29" i="39" s="1"/>
  <c r="P29" i="39"/>
  <c r="Q29" i="39"/>
  <c r="C30" i="39"/>
  <c r="M30" i="39" s="1"/>
  <c r="J30" i="39"/>
  <c r="C31" i="39"/>
  <c r="C32" i="39"/>
  <c r="N32" i="39" s="1"/>
  <c r="K32" i="39"/>
  <c r="I32" i="39"/>
  <c r="C33" i="39"/>
  <c r="K33" i="39"/>
  <c r="I33" i="39" s="1"/>
  <c r="C34" i="39"/>
  <c r="J34" i="39"/>
  <c r="C35" i="39"/>
  <c r="H35" i="39"/>
  <c r="F35" i="39" s="1"/>
  <c r="G35" i="39" s="1"/>
  <c r="C36" i="39"/>
  <c r="C37" i="39"/>
  <c r="N37" i="39" s="1"/>
  <c r="R37" i="39" s="1"/>
  <c r="K37" i="39"/>
  <c r="I37" i="39" s="1"/>
  <c r="C38" i="39"/>
  <c r="M38" i="39" s="1"/>
  <c r="K38" i="39"/>
  <c r="I38" i="39"/>
  <c r="C39" i="39"/>
  <c r="H39" i="39"/>
  <c r="F39" i="39"/>
  <c r="G39" i="39" s="1"/>
  <c r="C40" i="39"/>
  <c r="K40" i="39"/>
  <c r="I40" i="39" s="1"/>
  <c r="C41" i="39"/>
  <c r="J41" i="39"/>
  <c r="C42" i="39"/>
  <c r="H42" i="39" s="1"/>
  <c r="F42" i="39" s="1"/>
  <c r="J42" i="39"/>
  <c r="C43" i="39"/>
  <c r="C44" i="39"/>
  <c r="M44" i="39" s="1"/>
  <c r="H44" i="39"/>
  <c r="F44" i="39" s="1"/>
  <c r="C45" i="39"/>
  <c r="J45" i="39"/>
  <c r="C46" i="39"/>
  <c r="N46" i="39" s="1"/>
  <c r="R46" i="39" s="1"/>
  <c r="K46" i="39"/>
  <c r="I46" i="39"/>
  <c r="C47" i="39"/>
  <c r="X47" i="39" s="1"/>
  <c r="K47" i="39"/>
  <c r="I47" i="39"/>
  <c r="C48" i="39"/>
  <c r="C49" i="39"/>
  <c r="C50" i="39"/>
  <c r="K50" i="39"/>
  <c r="I50" i="39" s="1"/>
  <c r="C51" i="39"/>
  <c r="C52" i="39"/>
  <c r="J52" i="39"/>
  <c r="B32" i="39"/>
  <c r="B33" i="39"/>
  <c r="B34" i="39"/>
  <c r="B35" i="39"/>
  <c r="B36" i="39"/>
  <c r="B37" i="39"/>
  <c r="B38" i="39"/>
  <c r="B39" i="39"/>
  <c r="B40" i="39"/>
  <c r="B41" i="39"/>
  <c r="B42" i="39"/>
  <c r="B43" i="39"/>
  <c r="B44" i="39"/>
  <c r="B45" i="39"/>
  <c r="B47" i="39"/>
  <c r="B48" i="39"/>
  <c r="B49" i="39"/>
  <c r="B50" i="39"/>
  <c r="B51" i="39"/>
  <c r="B52" i="39"/>
  <c r="A19" i="39"/>
  <c r="Z19" i="39"/>
  <c r="A20" i="39"/>
  <c r="Z20" i="39"/>
  <c r="A21" i="39"/>
  <c r="Z21" i="39"/>
  <c r="A22" i="39"/>
  <c r="Z22" i="39"/>
  <c r="A23" i="39"/>
  <c r="Z23" i="39"/>
  <c r="A24" i="39"/>
  <c r="Z24" i="39"/>
  <c r="A25" i="39"/>
  <c r="Z25" i="39"/>
  <c r="A26" i="39"/>
  <c r="Z26" i="39"/>
  <c r="A27" i="39"/>
  <c r="Z27" i="39"/>
  <c r="A28" i="39"/>
  <c r="Z28" i="39"/>
  <c r="A29" i="39"/>
  <c r="Z29" i="39"/>
  <c r="A30" i="39"/>
  <c r="Z30" i="39"/>
  <c r="A31" i="39"/>
  <c r="Z31" i="39"/>
  <c r="A32" i="39"/>
  <c r="Z32" i="39"/>
  <c r="A33" i="39"/>
  <c r="Z33" i="39"/>
  <c r="A34" i="39"/>
  <c r="Z34" i="39"/>
  <c r="A35" i="39"/>
  <c r="Z35" i="39"/>
  <c r="A36" i="39"/>
  <c r="Z36" i="39"/>
  <c r="A37" i="39"/>
  <c r="Z37" i="39"/>
  <c r="A38" i="39"/>
  <c r="Z38" i="39"/>
  <c r="A39" i="39"/>
  <c r="Z39" i="39"/>
  <c r="A40" i="39"/>
  <c r="Z40" i="39"/>
  <c r="A41" i="39"/>
  <c r="Z41" i="39"/>
  <c r="A42" i="39"/>
  <c r="Z42" i="39"/>
  <c r="A43" i="39"/>
  <c r="Z43" i="39"/>
  <c r="A44" i="39"/>
  <c r="Z44" i="39"/>
  <c r="A45" i="39"/>
  <c r="Z45" i="39"/>
  <c r="A46" i="39"/>
  <c r="Z46" i="39"/>
  <c r="A47" i="39"/>
  <c r="Z47" i="39"/>
  <c r="A48" i="39"/>
  <c r="Z48" i="39"/>
  <c r="A49" i="39"/>
  <c r="Z49" i="39"/>
  <c r="A50" i="39"/>
  <c r="Z50" i="39"/>
  <c r="A51" i="39"/>
  <c r="Z51" i="39"/>
  <c r="A52" i="39"/>
  <c r="Z52" i="39"/>
  <c r="A18" i="39"/>
  <c r="Z18" i="39"/>
  <c r="B7" i="34"/>
  <c r="H39" i="34"/>
  <c r="C10" i="52"/>
  <c r="A10" i="52"/>
  <c r="G40" i="52"/>
  <c r="G39" i="52"/>
  <c r="G38" i="52"/>
  <c r="G22" i="52"/>
  <c r="G21" i="52"/>
  <c r="G20" i="52"/>
  <c r="G23" i="52" s="1"/>
  <c r="G30" i="52" s="1"/>
  <c r="G19" i="52"/>
  <c r="G18" i="52"/>
  <c r="G17" i="52"/>
  <c r="G14" i="52"/>
  <c r="G15" i="52" s="1"/>
  <c r="G29" i="52" s="1"/>
  <c r="G10" i="52"/>
  <c r="B7" i="52"/>
  <c r="G40" i="51"/>
  <c r="G39" i="51"/>
  <c r="G38" i="51"/>
  <c r="G22" i="51"/>
  <c r="G21" i="51"/>
  <c r="G20" i="51"/>
  <c r="G18" i="51"/>
  <c r="G19" i="51"/>
  <c r="G10" i="51"/>
  <c r="A10" i="51"/>
  <c r="C10" i="51"/>
  <c r="G17" i="51"/>
  <c r="G23" i="51" s="1"/>
  <c r="G14" i="51"/>
  <c r="G15" i="51" s="1"/>
  <c r="G29" i="51" s="1"/>
  <c r="B7" i="51"/>
  <c r="G10" i="50"/>
  <c r="C10" i="50"/>
  <c r="A10" i="50"/>
  <c r="G31" i="50"/>
  <c r="G32" i="50"/>
  <c r="G37" i="50"/>
  <c r="G28" i="50"/>
  <c r="G27" i="50"/>
  <c r="G26" i="50"/>
  <c r="G25" i="50"/>
  <c r="G24" i="50"/>
  <c r="G23" i="50"/>
  <c r="G22" i="50"/>
  <c r="G21" i="50"/>
  <c r="G29" i="50" s="1"/>
  <c r="G36" i="50" s="1"/>
  <c r="G20" i="50"/>
  <c r="G19" i="50"/>
  <c r="G18" i="50"/>
  <c r="G17" i="50"/>
  <c r="G14" i="50"/>
  <c r="G15" i="50" s="1"/>
  <c r="G35" i="50" s="1"/>
  <c r="B7" i="50"/>
  <c r="B7" i="49"/>
  <c r="G18" i="49"/>
  <c r="G19" i="49"/>
  <c r="G20" i="49"/>
  <c r="G21" i="49"/>
  <c r="G22" i="49"/>
  <c r="G23" i="49"/>
  <c r="G24" i="49"/>
  <c r="G25" i="49"/>
  <c r="G26" i="49"/>
  <c r="G27" i="49"/>
  <c r="G28" i="49"/>
  <c r="G10" i="49"/>
  <c r="C10" i="49"/>
  <c r="A10" i="49"/>
  <c r="A10" i="47"/>
  <c r="G31" i="49"/>
  <c r="G17" i="49"/>
  <c r="G14" i="49"/>
  <c r="G15" i="49" s="1"/>
  <c r="G36" i="49" s="1"/>
  <c r="G10" i="48"/>
  <c r="G10" i="47"/>
  <c r="C10" i="48"/>
  <c r="G35" i="48"/>
  <c r="E15" i="48"/>
  <c r="G15" i="48"/>
  <c r="G34" i="48"/>
  <c r="E14" i="48"/>
  <c r="G14" i="48"/>
  <c r="G16" i="48" s="1"/>
  <c r="G25" i="48" s="1"/>
  <c r="G28" i="48" s="1"/>
  <c r="G21" i="48"/>
  <c r="G22" i="48"/>
  <c r="G27" i="48"/>
  <c r="G18" i="48"/>
  <c r="G19" i="48"/>
  <c r="G26" i="48"/>
  <c r="B7" i="48"/>
  <c r="C10" i="47"/>
  <c r="B7" i="47"/>
  <c r="G35" i="47"/>
  <c r="E15" i="47"/>
  <c r="G15" i="47"/>
  <c r="G34" i="47"/>
  <c r="E14" i="47"/>
  <c r="G14" i="47"/>
  <c r="G16" i="47"/>
  <c r="G25" i="47"/>
  <c r="G21" i="47"/>
  <c r="G22" i="47"/>
  <c r="G27" i="47"/>
  <c r="G18" i="47"/>
  <c r="G19" i="47"/>
  <c r="G26" i="47"/>
  <c r="I140" i="16"/>
  <c r="J140" i="16" s="1"/>
  <c r="I139" i="16"/>
  <c r="J139" i="16" s="1"/>
  <c r="I138" i="16"/>
  <c r="J138" i="16" s="1"/>
  <c r="AP58" i="46" s="1"/>
  <c r="J125" i="16"/>
  <c r="AF26" i="46" s="1"/>
  <c r="I102" i="16"/>
  <c r="J102" i="16" s="1"/>
  <c r="U190" i="37" s="1"/>
  <c r="I103" i="16"/>
  <c r="J103" i="16" s="1"/>
  <c r="V206" i="37" s="1"/>
  <c r="I104" i="16"/>
  <c r="J104" i="16" s="1"/>
  <c r="W191" i="37" s="1"/>
  <c r="I105" i="16"/>
  <c r="J105" i="16" s="1"/>
  <c r="I107" i="16"/>
  <c r="J107" i="16" s="1"/>
  <c r="I108" i="16"/>
  <c r="J108" i="16" s="1"/>
  <c r="AA208" i="37" s="1"/>
  <c r="I101" i="16"/>
  <c r="J101" i="16" s="1"/>
  <c r="AC17" i="26"/>
  <c r="AC19" i="26"/>
  <c r="AC21" i="26"/>
  <c r="AC23" i="26"/>
  <c r="AC25" i="26"/>
  <c r="AC27" i="26"/>
  <c r="AC29" i="26"/>
  <c r="AC31" i="26"/>
  <c r="J26" i="46"/>
  <c r="J28" i="46"/>
  <c r="J30" i="46"/>
  <c r="J31" i="46"/>
  <c r="J36" i="46"/>
  <c r="J21" i="46"/>
  <c r="J25" i="46"/>
  <c r="J29" i="46"/>
  <c r="J33" i="46"/>
  <c r="K33" i="46"/>
  <c r="N33" i="46" s="1"/>
  <c r="J35" i="46"/>
  <c r="AR15" i="46"/>
  <c r="AQ15" i="46"/>
  <c r="AP15" i="46"/>
  <c r="AO15" i="46"/>
  <c r="AN15" i="46"/>
  <c r="AM15" i="46"/>
  <c r="AL15" i="46"/>
  <c r="AK15" i="46"/>
  <c r="J27" i="46"/>
  <c r="J32" i="46"/>
  <c r="J123" i="16"/>
  <c r="AD49" i="46" s="1"/>
  <c r="J124" i="16"/>
  <c r="AE28" i="46" s="1"/>
  <c r="J126" i="16"/>
  <c r="AG20" i="46" s="1"/>
  <c r="J127" i="16"/>
  <c r="AH37" i="46" s="1"/>
  <c r="J128" i="16"/>
  <c r="J129" i="16"/>
  <c r="AJ49" i="46" s="1"/>
  <c r="A20" i="46"/>
  <c r="AB20" i="46"/>
  <c r="K20" i="46"/>
  <c r="T17" i="46"/>
  <c r="H308" i="37"/>
  <c r="L308" i="37" s="1"/>
  <c r="P308" i="37" s="1"/>
  <c r="G263" i="37"/>
  <c r="K263" i="37" s="1"/>
  <c r="G264" i="37"/>
  <c r="K264" i="37" s="1"/>
  <c r="G276" i="37"/>
  <c r="K276" i="37" s="1"/>
  <c r="G277" i="37"/>
  <c r="K277" i="37" s="1"/>
  <c r="G278" i="37"/>
  <c r="K278" i="37" s="1"/>
  <c r="H214" i="37"/>
  <c r="L214" i="37" s="1"/>
  <c r="A214" i="37"/>
  <c r="G214" i="37" s="1"/>
  <c r="K214" i="37" s="1"/>
  <c r="A191" i="37"/>
  <c r="A192" i="37"/>
  <c r="B192" i="37"/>
  <c r="A193" i="37"/>
  <c r="B193" i="37"/>
  <c r="A194" i="37"/>
  <c r="B194" i="37"/>
  <c r="A195" i="37"/>
  <c r="B195" i="37"/>
  <c r="A196" i="37"/>
  <c r="B196" i="37"/>
  <c r="A197" i="37"/>
  <c r="B197" i="37"/>
  <c r="A198" i="37"/>
  <c r="B198" i="37"/>
  <c r="A199" i="37"/>
  <c r="B199" i="37"/>
  <c r="A200" i="37"/>
  <c r="B200" i="37"/>
  <c r="A201" i="37"/>
  <c r="B201" i="37"/>
  <c r="A202" i="37"/>
  <c r="B202" i="37"/>
  <c r="A203" i="37"/>
  <c r="B203" i="37"/>
  <c r="A204" i="37"/>
  <c r="B204" i="37"/>
  <c r="A205" i="37"/>
  <c r="B205" i="37"/>
  <c r="A206" i="37"/>
  <c r="B206" i="37"/>
  <c r="A190" i="37"/>
  <c r="A163" i="37"/>
  <c r="A164" i="37"/>
  <c r="B164" i="37"/>
  <c r="A165" i="37"/>
  <c r="B165" i="37"/>
  <c r="A166" i="37"/>
  <c r="B166" i="37"/>
  <c r="A167" i="37"/>
  <c r="B167" i="37"/>
  <c r="A168" i="37"/>
  <c r="B168" i="37"/>
  <c r="A169" i="37"/>
  <c r="B169" i="37"/>
  <c r="A170" i="37"/>
  <c r="B170" i="37"/>
  <c r="A171" i="37"/>
  <c r="B171" i="37"/>
  <c r="A172" i="37"/>
  <c r="B172" i="37"/>
  <c r="A173" i="37"/>
  <c r="B173" i="37"/>
  <c r="A174" i="37"/>
  <c r="B174" i="37"/>
  <c r="A175" i="37"/>
  <c r="B175" i="37"/>
  <c r="A176" i="37"/>
  <c r="B176" i="37"/>
  <c r="A177" i="37"/>
  <c r="B177" i="37"/>
  <c r="A178" i="37"/>
  <c r="B178" i="37"/>
  <c r="A162" i="37"/>
  <c r="A135" i="37"/>
  <c r="A137" i="37"/>
  <c r="A138" i="37"/>
  <c r="A139" i="37"/>
  <c r="A140" i="37"/>
  <c r="A141" i="37"/>
  <c r="A142" i="37"/>
  <c r="A143" i="37"/>
  <c r="A144" i="37"/>
  <c r="A145" i="37"/>
  <c r="A146" i="37"/>
  <c r="A147" i="37"/>
  <c r="A148" i="37"/>
  <c r="A149" i="37"/>
  <c r="A150" i="37"/>
  <c r="A134" i="37"/>
  <c r="B143" i="37"/>
  <c r="B144" i="37"/>
  <c r="B145" i="37"/>
  <c r="B146" i="37"/>
  <c r="B147" i="37"/>
  <c r="B148" i="37"/>
  <c r="B149" i="37"/>
  <c r="B150" i="37"/>
  <c r="B117" i="37"/>
  <c r="B118" i="37"/>
  <c r="B119" i="37"/>
  <c r="B120" i="37"/>
  <c r="B121" i="37"/>
  <c r="B122" i="37"/>
  <c r="A107" i="37"/>
  <c r="A109" i="37"/>
  <c r="A110" i="37"/>
  <c r="A111" i="37"/>
  <c r="A112" i="37"/>
  <c r="A113" i="37"/>
  <c r="A114" i="37"/>
  <c r="A115" i="37"/>
  <c r="A116" i="37"/>
  <c r="A117" i="37"/>
  <c r="A118" i="37"/>
  <c r="A119" i="37"/>
  <c r="A120" i="37"/>
  <c r="A121" i="37"/>
  <c r="A122" i="37"/>
  <c r="A106" i="37"/>
  <c r="A63" i="37"/>
  <c r="A17" i="37"/>
  <c r="B30" i="26"/>
  <c r="B57" i="26" s="1"/>
  <c r="B28" i="26"/>
  <c r="B55" i="26" s="1"/>
  <c r="B26" i="26"/>
  <c r="B53" i="26" s="1"/>
  <c r="B24" i="26"/>
  <c r="B51" i="26" s="1"/>
  <c r="B22" i="26"/>
  <c r="B49" i="26" s="1"/>
  <c r="B20" i="26"/>
  <c r="B47" i="26" s="1"/>
  <c r="B18" i="26"/>
  <c r="B45" i="26" s="1"/>
  <c r="B16" i="26"/>
  <c r="B43" i="26" s="1"/>
  <c r="J136" i="16"/>
  <c r="AN52" i="46" s="1"/>
  <c r="J152" i="16"/>
  <c r="AU19" i="39" s="1"/>
  <c r="J151" i="16"/>
  <c r="AT47" i="39" s="1"/>
  <c r="J150" i="16"/>
  <c r="AS29" i="39" s="1"/>
  <c r="J148" i="16"/>
  <c r="AR45" i="39" s="1"/>
  <c r="C6" i="35"/>
  <c r="A7" i="35"/>
  <c r="H10" i="35"/>
  <c r="H11" i="35"/>
  <c r="H12" i="35"/>
  <c r="H15" i="35"/>
  <c r="H18" i="35"/>
  <c r="H16" i="35"/>
  <c r="H17" i="35"/>
  <c r="H21" i="35"/>
  <c r="H25" i="35"/>
  <c r="H22" i="35"/>
  <c r="H23" i="35"/>
  <c r="H24" i="35"/>
  <c r="A9" i="24"/>
  <c r="G12" i="24"/>
  <c r="I12" i="24"/>
  <c r="G13" i="24"/>
  <c r="I13" i="24"/>
  <c r="G14" i="24"/>
  <c r="I14" i="24"/>
  <c r="G15" i="24"/>
  <c r="I15" i="24"/>
  <c r="G18" i="24"/>
  <c r="I18" i="24"/>
  <c r="G19" i="24"/>
  <c r="I19" i="24"/>
  <c r="G20" i="24"/>
  <c r="I20" i="24"/>
  <c r="G21" i="24"/>
  <c r="I21" i="24"/>
  <c r="G22" i="24"/>
  <c r="I22" i="24"/>
  <c r="G23" i="24"/>
  <c r="I23" i="24"/>
  <c r="G24" i="24"/>
  <c r="I24" i="24"/>
  <c r="G25" i="24"/>
  <c r="I25" i="24"/>
  <c r="G26" i="24"/>
  <c r="I26" i="24"/>
  <c r="G27" i="24"/>
  <c r="I27" i="24"/>
  <c r="G28" i="24"/>
  <c r="I28" i="24"/>
  <c r="G29" i="24"/>
  <c r="I29" i="24"/>
  <c r="G30" i="24"/>
  <c r="I30" i="24"/>
  <c r="G33" i="24"/>
  <c r="I33" i="24"/>
  <c r="G34" i="24"/>
  <c r="I34" i="24"/>
  <c r="G35" i="24"/>
  <c r="I35" i="24"/>
  <c r="G36" i="24"/>
  <c r="I36" i="24"/>
  <c r="G37" i="24"/>
  <c r="I37" i="24"/>
  <c r="H14" i="34"/>
  <c r="H18" i="34"/>
  <c r="H27" i="34"/>
  <c r="H21" i="34"/>
  <c r="H23" i="34"/>
  <c r="C44" i="34"/>
  <c r="C45" i="34"/>
  <c r="C49" i="34"/>
  <c r="H32" i="34"/>
  <c r="C36" i="34"/>
  <c r="C37" i="34"/>
  <c r="C38" i="34"/>
  <c r="C39" i="34"/>
  <c r="H37" i="34"/>
  <c r="H48" i="34"/>
  <c r="C40" i="34"/>
  <c r="C42" i="34"/>
  <c r="C43" i="34"/>
  <c r="B7" i="33"/>
  <c r="C25" i="33"/>
  <c r="D25" i="33"/>
  <c r="E25" i="33"/>
  <c r="F25" i="33"/>
  <c r="C37" i="33"/>
  <c r="D37" i="33"/>
  <c r="D52" i="33"/>
  <c r="E37" i="33"/>
  <c r="F37" i="33"/>
  <c r="C44" i="33"/>
  <c r="D44" i="33"/>
  <c r="E44" i="33"/>
  <c r="F44" i="33"/>
  <c r="C48" i="33"/>
  <c r="D48" i="33"/>
  <c r="E48" i="33"/>
  <c r="F48" i="33"/>
  <c r="B7" i="43"/>
  <c r="E14" i="43"/>
  <c r="G14" i="43" s="1"/>
  <c r="G16" i="43" s="1"/>
  <c r="G40" i="43" s="1"/>
  <c r="G44" i="43" s="1"/>
  <c r="I14" i="43"/>
  <c r="E15" i="43"/>
  <c r="G15" i="43" s="1"/>
  <c r="I15" i="43"/>
  <c r="G18" i="43"/>
  <c r="G30" i="43"/>
  <c r="G41" i="43"/>
  <c r="I18" i="43"/>
  <c r="J18" i="43"/>
  <c r="G19" i="43"/>
  <c r="I19" i="43"/>
  <c r="G20" i="43"/>
  <c r="I20" i="43"/>
  <c r="J20" i="43"/>
  <c r="G21" i="43"/>
  <c r="I21" i="43"/>
  <c r="G22" i="43"/>
  <c r="I22" i="43"/>
  <c r="J22" i="43"/>
  <c r="G23" i="43"/>
  <c r="I23" i="43"/>
  <c r="G24" i="43"/>
  <c r="I24" i="43"/>
  <c r="J24" i="43"/>
  <c r="G25" i="43"/>
  <c r="I25" i="43"/>
  <c r="G26" i="43"/>
  <c r="I26" i="43"/>
  <c r="J26" i="43"/>
  <c r="G27" i="43"/>
  <c r="I27" i="43"/>
  <c r="G28" i="43"/>
  <c r="I28" i="43"/>
  <c r="J28" i="43"/>
  <c r="G29" i="43"/>
  <c r="I29" i="43"/>
  <c r="G32" i="43"/>
  <c r="G33" i="43"/>
  <c r="G42" i="43"/>
  <c r="I32" i="43"/>
  <c r="G35" i="43"/>
  <c r="G37" i="43"/>
  <c r="G43" i="43"/>
  <c r="G36" i="43"/>
  <c r="B8" i="26"/>
  <c r="A16" i="26"/>
  <c r="A43" i="26" s="1"/>
  <c r="A18" i="26"/>
  <c r="A45" i="26" s="1"/>
  <c r="A20" i="26"/>
  <c r="A47" i="26" s="1"/>
  <c r="A22" i="26"/>
  <c r="A49" i="26" s="1"/>
  <c r="A24" i="26"/>
  <c r="A51" i="26" s="1"/>
  <c r="A26" i="26"/>
  <c r="A53" i="26" s="1"/>
  <c r="A28" i="26"/>
  <c r="A55" i="26" s="1"/>
  <c r="A30" i="26"/>
  <c r="A57" i="26" s="1"/>
  <c r="C9" i="39"/>
  <c r="AM17" i="39"/>
  <c r="AN17" i="39"/>
  <c r="AO17" i="39"/>
  <c r="AP17" i="39"/>
  <c r="C7" i="37"/>
  <c r="AB212" i="37"/>
  <c r="AE212" i="37"/>
  <c r="AB306" i="37"/>
  <c r="AE306" i="37"/>
  <c r="AH306" i="37"/>
  <c r="J18" i="16"/>
  <c r="K18" i="16" s="1"/>
  <c r="J19" i="16"/>
  <c r="K19" i="16" s="1"/>
  <c r="J20" i="16"/>
  <c r="J25" i="16"/>
  <c r="AA53" i="39" s="1"/>
  <c r="J26" i="16"/>
  <c r="AJ25" i="39" s="1"/>
  <c r="J43" i="16"/>
  <c r="AD44" i="39" s="1"/>
  <c r="J44" i="16"/>
  <c r="AB26" i="39" s="1"/>
  <c r="J45" i="16"/>
  <c r="AG47" i="39" s="1"/>
  <c r="J46" i="16"/>
  <c r="AH24" i="39" s="1"/>
  <c r="J47" i="16"/>
  <c r="AI34" i="39" s="1"/>
  <c r="J50" i="16"/>
  <c r="S37" i="37" s="1"/>
  <c r="J51" i="16"/>
  <c r="T52" i="37" s="1"/>
  <c r="J52" i="16"/>
  <c r="U35" i="37" s="1"/>
  <c r="J53" i="16"/>
  <c r="V52" i="37" s="1"/>
  <c r="J54" i="16"/>
  <c r="W41" i="37" s="1"/>
  <c r="J55" i="16"/>
  <c r="X22" i="37" s="1"/>
  <c r="I56" i="16"/>
  <c r="J57" i="16"/>
  <c r="Z24" i="37" s="1"/>
  <c r="J58" i="16"/>
  <c r="AA24" i="37" s="1"/>
  <c r="J59" i="16"/>
  <c r="AB30" i="37" s="1"/>
  <c r="J60" i="16"/>
  <c r="S85" i="37" s="1"/>
  <c r="I61" i="16"/>
  <c r="J61" i="16" s="1"/>
  <c r="T97" i="37" s="1"/>
  <c r="I62" i="16"/>
  <c r="J62" i="16" s="1"/>
  <c r="U82" i="37" s="1"/>
  <c r="I63" i="16"/>
  <c r="J63" i="16" s="1"/>
  <c r="I64" i="16"/>
  <c r="J64" i="16" s="1"/>
  <c r="W91" i="37" s="1"/>
  <c r="I65" i="16"/>
  <c r="J65" i="16" s="1"/>
  <c r="X91" i="37" s="1"/>
  <c r="I67" i="16"/>
  <c r="J67" i="16" s="1"/>
  <c r="Z91" i="37" s="1"/>
  <c r="I68" i="16"/>
  <c r="J68" i="16" s="1"/>
  <c r="AA95" i="37" s="1"/>
  <c r="J69" i="16"/>
  <c r="J70" i="16"/>
  <c r="S112" i="37" s="1"/>
  <c r="I71" i="16"/>
  <c r="J71" i="16" s="1"/>
  <c r="T119" i="37" s="1"/>
  <c r="I72" i="16"/>
  <c r="J72" i="16" s="1"/>
  <c r="U110" i="37" s="1"/>
  <c r="I73" i="16"/>
  <c r="J73" i="16" s="1"/>
  <c r="V107" i="37" s="1"/>
  <c r="I74" i="16"/>
  <c r="J74" i="16" s="1"/>
  <c r="I75" i="16"/>
  <c r="J75" i="16" s="1"/>
  <c r="X122" i="37" s="1"/>
  <c r="I77" i="16"/>
  <c r="J77" i="16" s="1"/>
  <c r="Z114" i="37" s="1"/>
  <c r="I78" i="16"/>
  <c r="J78" i="16" s="1"/>
  <c r="AA110" i="37" s="1"/>
  <c r="J79" i="16"/>
  <c r="AB108" i="37" s="1"/>
  <c r="J80" i="16"/>
  <c r="S152" i="37" s="1"/>
  <c r="I81" i="16"/>
  <c r="J81" i="16" s="1"/>
  <c r="T140" i="37" s="1"/>
  <c r="I82" i="16"/>
  <c r="J82" i="16" s="1"/>
  <c r="U137" i="37" s="1"/>
  <c r="I83" i="16"/>
  <c r="J83" i="16" s="1"/>
  <c r="V151" i="37" s="1"/>
  <c r="I84" i="16"/>
  <c r="J84" i="16" s="1"/>
  <c r="W139" i="37" s="1"/>
  <c r="I85" i="16"/>
  <c r="J85" i="16" s="1"/>
  <c r="I87" i="16"/>
  <c r="J87" i="16" s="1"/>
  <c r="Z147" i="37" s="1"/>
  <c r="I88" i="16"/>
  <c r="J88" i="16" s="1"/>
  <c r="AA137" i="37" s="1"/>
  <c r="J89" i="16"/>
  <c r="AB146" i="37" s="1"/>
  <c r="J90" i="16"/>
  <c r="S169" i="37" s="1"/>
  <c r="I91" i="16"/>
  <c r="J91" i="16" s="1"/>
  <c r="T171" i="37" s="1"/>
  <c r="I92" i="16"/>
  <c r="J92" i="16" s="1"/>
  <c r="U162" i="37" s="1"/>
  <c r="I93" i="16"/>
  <c r="J93" i="16" s="1"/>
  <c r="I94" i="16"/>
  <c r="J94" i="16" s="1"/>
  <c r="W180" i="37" s="1"/>
  <c r="I95" i="16"/>
  <c r="J95" i="16" s="1"/>
  <c r="X178" i="37" s="1"/>
  <c r="I97" i="16"/>
  <c r="J97" i="16" s="1"/>
  <c r="Z179" i="37" s="1"/>
  <c r="I98" i="16"/>
  <c r="J98" i="16" s="1"/>
  <c r="AA164" i="37" s="1"/>
  <c r="J99" i="16"/>
  <c r="J100" i="16"/>
  <c r="S198" i="37" s="1"/>
  <c r="J109" i="16"/>
  <c r="AB209" i="37" s="1"/>
  <c r="J111" i="16"/>
  <c r="AB296" i="37" s="1"/>
  <c r="AC296" i="37" s="1"/>
  <c r="J113" i="16"/>
  <c r="AH295" i="37" s="1"/>
  <c r="J115" i="16"/>
  <c r="AB334" i="37" s="1"/>
  <c r="AC334" i="37" s="1"/>
  <c r="I119" i="16"/>
  <c r="J119" i="16" s="1"/>
  <c r="J122" i="16"/>
  <c r="AC21" i="46" s="1"/>
  <c r="J134" i="16"/>
  <c r="AL32" i="46" s="1"/>
  <c r="J135" i="16"/>
  <c r="AM41" i="46" s="1"/>
  <c r="J145" i="16"/>
  <c r="AO52" i="39" s="1"/>
  <c r="J146" i="16"/>
  <c r="AP19" i="39" s="1"/>
  <c r="J147" i="16"/>
  <c r="AQ48" i="39" s="1"/>
  <c r="J156" i="16"/>
  <c r="K156" i="16" s="1"/>
  <c r="J157" i="16"/>
  <c r="K157" i="16" s="1"/>
  <c r="J159" i="16"/>
  <c r="K159" i="16" s="1"/>
  <c r="J160" i="16"/>
  <c r="K160" i="16" s="1"/>
  <c r="J163" i="16"/>
  <c r="A10" i="38"/>
  <c r="C41" i="34"/>
  <c r="H38" i="34"/>
  <c r="H41" i="34"/>
  <c r="H43" i="34"/>
  <c r="J38" i="34"/>
  <c r="J45" i="34"/>
  <c r="G41" i="52"/>
  <c r="F25" i="52"/>
  <c r="G25" i="52"/>
  <c r="G26" i="52"/>
  <c r="G31" i="52"/>
  <c r="G55" i="46"/>
  <c r="H55" i="46" s="1"/>
  <c r="E41" i="46"/>
  <c r="G41" i="46" s="1"/>
  <c r="H41" i="46" s="1"/>
  <c r="E31" i="46"/>
  <c r="V31" i="46" s="1"/>
  <c r="E49" i="46"/>
  <c r="P49" i="46" s="1"/>
  <c r="E29" i="46"/>
  <c r="G29" i="46" s="1"/>
  <c r="H29" i="46" s="1"/>
  <c r="E48" i="46"/>
  <c r="I48" i="46" s="1"/>
  <c r="E28" i="46"/>
  <c r="G28" i="46" s="1"/>
  <c r="H28" i="46" s="1"/>
  <c r="E40" i="46"/>
  <c r="I40" i="46" s="1"/>
  <c r="G40" i="46"/>
  <c r="H40" i="46"/>
  <c r="E47" i="46"/>
  <c r="P47" i="46" s="1"/>
  <c r="V47" i="46"/>
  <c r="Z47" i="46" s="1"/>
  <c r="E39" i="46"/>
  <c r="E26" i="46"/>
  <c r="P26" i="46" s="1"/>
  <c r="E54" i="46"/>
  <c r="P54" i="46" s="1"/>
  <c r="E34" i="46"/>
  <c r="K36" i="39"/>
  <c r="I36" i="39"/>
  <c r="J33" i="39"/>
  <c r="E44" i="46"/>
  <c r="P44" i="46" s="1"/>
  <c r="E53" i="46"/>
  <c r="V53" i="46" s="1"/>
  <c r="E33" i="46"/>
  <c r="E52" i="46"/>
  <c r="I52" i="46" s="1"/>
  <c r="E32" i="46"/>
  <c r="V32" i="46" s="1"/>
  <c r="K32" i="46"/>
  <c r="N32" i="46" s="1"/>
  <c r="M32" i="46"/>
  <c r="E51" i="46"/>
  <c r="I51" i="46" s="1"/>
  <c r="P51" i="46"/>
  <c r="R51" i="46" s="1"/>
  <c r="G51" i="46"/>
  <c r="H51" i="46" s="1"/>
  <c r="E50" i="46"/>
  <c r="P50" i="46" s="1"/>
  <c r="E30" i="46"/>
  <c r="G30" i="46" s="1"/>
  <c r="H30" i="46" s="1"/>
  <c r="E42" i="46"/>
  <c r="G42" i="46" s="1"/>
  <c r="H42" i="46" s="1"/>
  <c r="E46" i="46"/>
  <c r="I46" i="46" s="1"/>
  <c r="E45" i="46"/>
  <c r="G45" i="46" s="1"/>
  <c r="H45" i="46" s="1"/>
  <c r="E43" i="46"/>
  <c r="G43" i="46" s="1"/>
  <c r="H43" i="46" s="1"/>
  <c r="E35" i="46"/>
  <c r="E27" i="46"/>
  <c r="G27" i="46" s="1"/>
  <c r="H27" i="46" s="1"/>
  <c r="E37" i="46"/>
  <c r="V37" i="46" s="1"/>
  <c r="E36" i="46"/>
  <c r="P36" i="46" s="1"/>
  <c r="J36" i="39"/>
  <c r="H36" i="39"/>
  <c r="F36" i="39" s="1"/>
  <c r="G36" i="39" s="1"/>
  <c r="X25" i="39"/>
  <c r="J24" i="39"/>
  <c r="E38" i="46"/>
  <c r="I38" i="46" s="1"/>
  <c r="G38" i="46"/>
  <c r="H38" i="46"/>
  <c r="H38" i="39"/>
  <c r="F38" i="39"/>
  <c r="G38" i="39" s="1"/>
  <c r="J37" i="39"/>
  <c r="M45" i="39"/>
  <c r="K45" i="39"/>
  <c r="I45" i="39"/>
  <c r="E25" i="46"/>
  <c r="P25" i="46" s="1"/>
  <c r="X42" i="39"/>
  <c r="K34" i="39"/>
  <c r="I34" i="39" s="1"/>
  <c r="G31" i="46"/>
  <c r="H31" i="46"/>
  <c r="G25" i="46"/>
  <c r="H25" i="46" s="1"/>
  <c r="G260" i="37"/>
  <c r="K260" i="37" s="1"/>
  <c r="G309" i="37"/>
  <c r="K309" i="37" s="1"/>
  <c r="O309" i="37" s="1"/>
  <c r="G269" i="37"/>
  <c r="K269" i="37" s="1"/>
  <c r="G265" i="37"/>
  <c r="K265" i="37" s="1"/>
  <c r="G271" i="37"/>
  <c r="K271" i="37" s="1"/>
  <c r="G266" i="37"/>
  <c r="K266" i="37" s="1"/>
  <c r="G262" i="37"/>
  <c r="K262" i="37" s="1"/>
  <c r="V54" i="39"/>
  <c r="W54" i="39" s="1"/>
  <c r="V55" i="39"/>
  <c r="W55" i="39" s="1"/>
  <c r="V53" i="39"/>
  <c r="W53" i="39"/>
  <c r="H26" i="35"/>
  <c r="J46" i="34"/>
  <c r="K46" i="34"/>
  <c r="K45" i="34"/>
  <c r="G41" i="51"/>
  <c r="F25" i="51"/>
  <c r="G25" i="51"/>
  <c r="G26" i="51"/>
  <c r="G31" i="51"/>
  <c r="K28" i="39"/>
  <c r="I28" i="39"/>
  <c r="J28" i="39"/>
  <c r="I25" i="46"/>
  <c r="K43" i="39"/>
  <c r="I43" i="39"/>
  <c r="X43" i="39"/>
  <c r="H43" i="39"/>
  <c r="F43" i="39" s="1"/>
  <c r="G43" i="39" s="1"/>
  <c r="J37" i="34"/>
  <c r="J39" i="34"/>
  <c r="G31" i="24"/>
  <c r="G42" i="24"/>
  <c r="P56" i="46"/>
  <c r="S56" i="46" s="1"/>
  <c r="I56" i="46"/>
  <c r="G56" i="46"/>
  <c r="H56" i="46" s="1"/>
  <c r="V56" i="46"/>
  <c r="W56" i="46" s="1"/>
  <c r="K56" i="46"/>
  <c r="M56" i="46" s="1"/>
  <c r="K57" i="46"/>
  <c r="M57" i="46" s="1"/>
  <c r="K25" i="39"/>
  <c r="I25" i="39"/>
  <c r="M25" i="39"/>
  <c r="N25" i="39"/>
  <c r="X24" i="39"/>
  <c r="K41" i="39"/>
  <c r="I41" i="39"/>
  <c r="K52" i="39"/>
  <c r="I52" i="39"/>
  <c r="H52" i="39"/>
  <c r="F52" i="39"/>
  <c r="L52" i="39" s="1"/>
  <c r="G52" i="39"/>
  <c r="V36" i="46"/>
  <c r="W36" i="46" s="1"/>
  <c r="G16" i="24"/>
  <c r="G41" i="24"/>
  <c r="K24" i="39"/>
  <c r="I24" i="39"/>
  <c r="H25" i="39"/>
  <c r="F25" i="39" s="1"/>
  <c r="A322" i="37"/>
  <c r="G322" i="37" s="1"/>
  <c r="K322" i="37" s="1"/>
  <c r="O322" i="37" s="1"/>
  <c r="G28" i="47"/>
  <c r="M24" i="39"/>
  <c r="G38" i="24"/>
  <c r="G43" i="24"/>
  <c r="A336" i="37"/>
  <c r="G336" i="37" s="1"/>
  <c r="K336" i="37" s="1"/>
  <c r="O336" i="37" s="1"/>
  <c r="V44" i="46"/>
  <c r="Y44" i="46" s="1"/>
  <c r="W44" i="46"/>
  <c r="G275" i="37"/>
  <c r="K275" i="37" s="1"/>
  <c r="N54" i="39"/>
  <c r="P54" i="39"/>
  <c r="Q54" i="39"/>
  <c r="X45" i="39"/>
  <c r="M47" i="39"/>
  <c r="G50" i="38"/>
  <c r="K44" i="39"/>
  <c r="I44" i="39" s="1"/>
  <c r="H32" i="39"/>
  <c r="F32" i="39" s="1"/>
  <c r="G32" i="39" s="1"/>
  <c r="G292" i="37"/>
  <c r="K292" i="37" s="1"/>
  <c r="N44" i="39"/>
  <c r="T44" i="39" s="1"/>
  <c r="G291" i="37"/>
  <c r="K291" i="37"/>
  <c r="G290" i="37"/>
  <c r="K290" i="37" s="1"/>
  <c r="E64" i="37"/>
  <c r="G272" i="37"/>
  <c r="K272" i="37" s="1"/>
  <c r="G268" i="37"/>
  <c r="K268" i="37"/>
  <c r="J51" i="39"/>
  <c r="K42" i="39"/>
  <c r="I42" i="39"/>
  <c r="P32" i="39"/>
  <c r="Q32" i="39" s="1"/>
  <c r="A332" i="37"/>
  <c r="G332" i="37" s="1"/>
  <c r="K332" i="37" s="1"/>
  <c r="O332" i="37" s="1"/>
  <c r="X44" i="39"/>
  <c r="K51" i="39"/>
  <c r="I51" i="39"/>
  <c r="L51" i="39" s="1"/>
  <c r="A335" i="37"/>
  <c r="G335" i="37" s="1"/>
  <c r="K335" i="37" s="1"/>
  <c r="O335" i="37" s="1"/>
  <c r="I59" i="46"/>
  <c r="M52" i="39"/>
  <c r="H34" i="39"/>
  <c r="F34" i="39"/>
  <c r="G34" i="39" s="1"/>
  <c r="G289" i="37"/>
  <c r="K289" i="37" s="1"/>
  <c r="A342" i="37"/>
  <c r="G342" i="37" s="1"/>
  <c r="K342" i="37" s="1"/>
  <c r="O342" i="37" s="1"/>
  <c r="H51" i="39"/>
  <c r="F51" i="39"/>
  <c r="G51" i="39"/>
  <c r="E50" i="38"/>
  <c r="G261" i="37"/>
  <c r="K261" i="37" s="1"/>
  <c r="M43" i="39"/>
  <c r="H33" i="39"/>
  <c r="F33" i="39"/>
  <c r="K35" i="39"/>
  <c r="I35" i="39"/>
  <c r="G288" i="37"/>
  <c r="K288" i="37" s="1"/>
  <c r="G270" i="37"/>
  <c r="K270" i="37" s="1"/>
  <c r="J44" i="39"/>
  <c r="M42" i="39"/>
  <c r="G274" i="37"/>
  <c r="K274" i="37"/>
  <c r="N43" i="39"/>
  <c r="U43" i="39" s="1"/>
  <c r="P43" i="39"/>
  <c r="Q43" i="39"/>
  <c r="H18" i="39"/>
  <c r="F18" i="39" s="1"/>
  <c r="L18" i="39" s="1"/>
  <c r="K54" i="39"/>
  <c r="I54" i="39"/>
  <c r="X38" i="39"/>
  <c r="N31" i="39"/>
  <c r="U31" i="39" s="1"/>
  <c r="J31" i="39"/>
  <c r="H30" i="39"/>
  <c r="F30" i="39"/>
  <c r="K30" i="39"/>
  <c r="I30" i="39" s="1"/>
  <c r="H54" i="39"/>
  <c r="F54" i="39" s="1"/>
  <c r="G54" i="39" s="1"/>
  <c r="K29" i="39"/>
  <c r="I29" i="39" s="1"/>
  <c r="J29" i="39"/>
  <c r="H55" i="39"/>
  <c r="F55" i="39"/>
  <c r="G55" i="39" s="1"/>
  <c r="K55" i="39"/>
  <c r="I55" i="39"/>
  <c r="L55" i="39" s="1"/>
  <c r="N38" i="39"/>
  <c r="R38" i="39" s="1"/>
  <c r="J38" i="39"/>
  <c r="X32" i="39"/>
  <c r="H26" i="39"/>
  <c r="F26" i="39" s="1"/>
  <c r="K26" i="39"/>
  <c r="I26" i="39" s="1"/>
  <c r="X26" i="39"/>
  <c r="R29" i="39"/>
  <c r="T29" i="39"/>
  <c r="N39" i="39"/>
  <c r="J39" i="39"/>
  <c r="M39" i="39"/>
  <c r="K39" i="39"/>
  <c r="I39" i="39" s="1"/>
  <c r="X39" i="39"/>
  <c r="M46" i="39"/>
  <c r="J46" i="39"/>
  <c r="H46" i="39"/>
  <c r="F46" i="39" s="1"/>
  <c r="L46" i="39" s="1"/>
  <c r="H48" i="39"/>
  <c r="F48" i="39" s="1"/>
  <c r="N26" i="39"/>
  <c r="T26" i="39" s="1"/>
  <c r="J26" i="39"/>
  <c r="J35" i="39"/>
  <c r="M35" i="39"/>
  <c r="H40" i="39"/>
  <c r="F40" i="39"/>
  <c r="G40" i="39" s="1"/>
  <c r="M31" i="39"/>
  <c r="M28" i="39"/>
  <c r="X28" i="39"/>
  <c r="H45" i="39"/>
  <c r="F45" i="39"/>
  <c r="N45" i="39"/>
  <c r="R45" i="39" s="1"/>
  <c r="J43" i="39"/>
  <c r="H37" i="39"/>
  <c r="F37" i="39"/>
  <c r="H28" i="39"/>
  <c r="F28" i="39"/>
  <c r="G28" i="39" s="1"/>
  <c r="J32" i="39"/>
  <c r="M32" i="39"/>
  <c r="N28" i="39"/>
  <c r="P28" i="39" s="1"/>
  <c r="Q28" i="39" s="1"/>
  <c r="N24" i="39"/>
  <c r="U24" i="39" s="1"/>
  <c r="G285" i="37"/>
  <c r="K285" i="37" s="1"/>
  <c r="A345" i="37"/>
  <c r="G345" i="37" s="1"/>
  <c r="K345" i="37" s="1"/>
  <c r="O345" i="37" s="1"/>
  <c r="G281" i="37"/>
  <c r="K281" i="37" s="1"/>
  <c r="V28" i="46"/>
  <c r="W28" i="46" s="1"/>
  <c r="P28" i="46"/>
  <c r="T28" i="46" s="1"/>
  <c r="V48" i="46"/>
  <c r="W48" i="46" s="1"/>
  <c r="G33" i="46"/>
  <c r="H33" i="46" s="1"/>
  <c r="I33" i="46"/>
  <c r="P33" i="46"/>
  <c r="V33" i="46"/>
  <c r="W33" i="46" s="1"/>
  <c r="G53" i="46"/>
  <c r="H53" i="46"/>
  <c r="I53" i="46"/>
  <c r="I49" i="46"/>
  <c r="G44" i="24"/>
  <c r="G29" i="47"/>
  <c r="G30" i="47"/>
  <c r="I21" i="16"/>
  <c r="J21" i="16" s="1"/>
  <c r="K21" i="16" s="1"/>
  <c r="H27" i="35"/>
  <c r="H28" i="35"/>
  <c r="R43" i="39"/>
  <c r="R25" i="39"/>
  <c r="T43" i="39"/>
  <c r="E20" i="46"/>
  <c r="T45" i="39"/>
  <c r="U45" i="39"/>
  <c r="G37" i="39"/>
  <c r="J11" i="24"/>
  <c r="G46" i="24"/>
  <c r="G45" i="24"/>
  <c r="H170" i="37" l="1"/>
  <c r="P170" i="37"/>
  <c r="K39" i="37"/>
  <c r="L39" i="37" s="1"/>
  <c r="M49" i="37"/>
  <c r="M51" i="37"/>
  <c r="K52" i="37"/>
  <c r="L52" i="37" s="1"/>
  <c r="H35" i="37"/>
  <c r="N35" i="37" s="1"/>
  <c r="H43" i="37"/>
  <c r="H44" i="37"/>
  <c r="H46" i="37"/>
  <c r="H47" i="37"/>
  <c r="H51" i="37"/>
  <c r="M52" i="37"/>
  <c r="H171" i="37"/>
  <c r="M42" i="37"/>
  <c r="H175" i="37"/>
  <c r="G163" i="37"/>
  <c r="P163" i="37" s="1"/>
  <c r="K29" i="37"/>
  <c r="L29" i="37" s="1"/>
  <c r="H179" i="37"/>
  <c r="O179" i="37" s="1"/>
  <c r="H176" i="37"/>
  <c r="H174" i="37"/>
  <c r="O20" i="37"/>
  <c r="N167" i="37"/>
  <c r="O167" i="37"/>
  <c r="N171" i="37"/>
  <c r="O171" i="37"/>
  <c r="N175" i="37"/>
  <c r="O175" i="37"/>
  <c r="N179" i="37"/>
  <c r="G267" i="37"/>
  <c r="K267" i="37" s="1"/>
  <c r="H136" i="37"/>
  <c r="K152" i="37"/>
  <c r="L152" i="37" s="1"/>
  <c r="M17" i="37"/>
  <c r="H34" i="37"/>
  <c r="H22" i="37"/>
  <c r="G295" i="37"/>
  <c r="K295" i="37" s="1"/>
  <c r="H38" i="37"/>
  <c r="M39" i="37"/>
  <c r="K44" i="37"/>
  <c r="L44" i="37" s="1"/>
  <c r="H49" i="37"/>
  <c r="H50" i="37"/>
  <c r="N209" i="37"/>
  <c r="N201" i="37"/>
  <c r="N193" i="37"/>
  <c r="H164" i="37"/>
  <c r="K151" i="37"/>
  <c r="L151" i="37" s="1"/>
  <c r="H135" i="37"/>
  <c r="K122" i="37"/>
  <c r="L122" i="37" s="1"/>
  <c r="K114" i="37"/>
  <c r="L114" i="37" s="1"/>
  <c r="H82" i="37"/>
  <c r="H21" i="37"/>
  <c r="A308" i="37"/>
  <c r="G308" i="37" s="1"/>
  <c r="K308" i="37" s="1"/>
  <c r="O308" i="37" s="1"/>
  <c r="K150" i="37"/>
  <c r="L150" i="37" s="1"/>
  <c r="H138" i="37"/>
  <c r="K125" i="37"/>
  <c r="L125" i="37" s="1"/>
  <c r="K17" i="37"/>
  <c r="L17" i="37" s="1"/>
  <c r="H28" i="37"/>
  <c r="K20" i="37"/>
  <c r="L20" i="37" s="1"/>
  <c r="H205" i="37"/>
  <c r="H197" i="37"/>
  <c r="N197" i="37" s="1"/>
  <c r="H23" i="37"/>
  <c r="P190" i="37"/>
  <c r="H190" i="37"/>
  <c r="N190" i="37" s="1"/>
  <c r="M195" i="37"/>
  <c r="I195" i="37" s="1"/>
  <c r="J195" i="37" s="1"/>
  <c r="Q195" i="37"/>
  <c r="G195" i="37"/>
  <c r="P195" i="37" s="1"/>
  <c r="J190" i="37"/>
  <c r="H194" i="37"/>
  <c r="P194" i="37"/>
  <c r="O180" i="37"/>
  <c r="N180" i="37"/>
  <c r="O176" i="37"/>
  <c r="N176" i="37"/>
  <c r="O172" i="37"/>
  <c r="N172" i="37"/>
  <c r="O168" i="37"/>
  <c r="N168" i="37"/>
  <c r="O164" i="37"/>
  <c r="N164" i="37"/>
  <c r="M203" i="37"/>
  <c r="I203" i="37" s="1"/>
  <c r="J203" i="37" s="1"/>
  <c r="Q203" i="37"/>
  <c r="G203" i="37"/>
  <c r="P203" i="37" s="1"/>
  <c r="E210" i="37"/>
  <c r="G100" i="16" s="1"/>
  <c r="M191" i="37"/>
  <c r="I191" i="37" s="1"/>
  <c r="J191" i="37" s="1"/>
  <c r="G191" i="37"/>
  <c r="P191" i="37" s="1"/>
  <c r="O201" i="37"/>
  <c r="H198" i="37"/>
  <c r="P198" i="37"/>
  <c r="H191" i="37"/>
  <c r="N178" i="37"/>
  <c r="O178" i="37"/>
  <c r="N174" i="37"/>
  <c r="O174" i="37"/>
  <c r="N170" i="37"/>
  <c r="O170" i="37"/>
  <c r="N166" i="37"/>
  <c r="O166" i="37"/>
  <c r="H206" i="37"/>
  <c r="P206" i="37"/>
  <c r="M207" i="37"/>
  <c r="I207" i="37" s="1"/>
  <c r="J207" i="37" s="1"/>
  <c r="Q207" i="37"/>
  <c r="G207" i="37"/>
  <c r="P207" i="37" s="1"/>
  <c r="M199" i="37"/>
  <c r="I199" i="37" s="1"/>
  <c r="J199" i="37" s="1"/>
  <c r="Q199" i="37"/>
  <c r="G199" i="37"/>
  <c r="H202" i="37"/>
  <c r="P202" i="37"/>
  <c r="H195" i="37"/>
  <c r="M208" i="37"/>
  <c r="I208" i="37" s="1"/>
  <c r="J208" i="37" s="1"/>
  <c r="M204" i="37"/>
  <c r="I204" i="37" s="1"/>
  <c r="J204" i="37" s="1"/>
  <c r="M200" i="37"/>
  <c r="I200" i="37" s="1"/>
  <c r="J200" i="37" s="1"/>
  <c r="M196" i="37"/>
  <c r="I196" i="37" s="1"/>
  <c r="J196" i="37" s="1"/>
  <c r="M192" i="37"/>
  <c r="I192" i="37" s="1"/>
  <c r="J192" i="37" s="1"/>
  <c r="H208" i="37"/>
  <c r="H204" i="37"/>
  <c r="H200" i="37"/>
  <c r="H196" i="37"/>
  <c r="H192" i="37"/>
  <c r="P180" i="37"/>
  <c r="P176" i="37"/>
  <c r="P172" i="37"/>
  <c r="P168" i="37"/>
  <c r="P164" i="37"/>
  <c r="M181" i="37"/>
  <c r="I181" i="37" s="1"/>
  <c r="J181" i="37" s="1"/>
  <c r="M177" i="37"/>
  <c r="I177" i="37" s="1"/>
  <c r="J177" i="37" s="1"/>
  <c r="M173" i="37"/>
  <c r="I173" i="37" s="1"/>
  <c r="J173" i="37" s="1"/>
  <c r="M169" i="37"/>
  <c r="I169" i="37" s="1"/>
  <c r="J169" i="37" s="1"/>
  <c r="M165" i="37"/>
  <c r="I165" i="37" s="1"/>
  <c r="J165" i="37" s="1"/>
  <c r="G181" i="37"/>
  <c r="G177" i="37"/>
  <c r="G173" i="37"/>
  <c r="G169" i="37"/>
  <c r="G165" i="37"/>
  <c r="H162" i="37"/>
  <c r="P209" i="37"/>
  <c r="P205" i="37"/>
  <c r="P201" i="37"/>
  <c r="P197" i="37"/>
  <c r="P193" i="37"/>
  <c r="H21" i="56"/>
  <c r="G181" i="16"/>
  <c r="K181" i="16" s="1"/>
  <c r="H25" i="56"/>
  <c r="G185" i="16"/>
  <c r="K185" i="16" s="1"/>
  <c r="H35" i="56"/>
  <c r="G195" i="16"/>
  <c r="K195" i="16" s="1"/>
  <c r="H31" i="56"/>
  <c r="H30" i="56" s="1"/>
  <c r="G191" i="16"/>
  <c r="K191" i="16" s="1"/>
  <c r="H39" i="56"/>
  <c r="G199" i="16"/>
  <c r="K199" i="16" s="1"/>
  <c r="H43" i="56"/>
  <c r="G203" i="16"/>
  <c r="K203" i="16" s="1"/>
  <c r="H46" i="56"/>
  <c r="H45" i="56" s="1"/>
  <c r="G206" i="16"/>
  <c r="K206" i="16" s="1"/>
  <c r="H12" i="56"/>
  <c r="G172" i="16"/>
  <c r="K172" i="16" s="1"/>
  <c r="F52" i="33"/>
  <c r="E52" i="33"/>
  <c r="C52" i="33"/>
  <c r="T25" i="39"/>
  <c r="P25" i="39"/>
  <c r="Q25" i="39" s="1"/>
  <c r="U25" i="39"/>
  <c r="C56" i="39"/>
  <c r="J23" i="39"/>
  <c r="X23" i="39"/>
  <c r="M23" i="39"/>
  <c r="H23" i="39"/>
  <c r="F23" i="39" s="1"/>
  <c r="G23" i="39" s="1"/>
  <c r="N23" i="39"/>
  <c r="M36" i="39"/>
  <c r="M34" i="39"/>
  <c r="X34" i="39"/>
  <c r="N33" i="39"/>
  <c r="R33" i="39" s="1"/>
  <c r="M33" i="39"/>
  <c r="X33" i="39"/>
  <c r="X30" i="39"/>
  <c r="P37" i="39"/>
  <c r="Q37" i="39" s="1"/>
  <c r="M37" i="39"/>
  <c r="M56" i="39" s="1"/>
  <c r="X37" i="39"/>
  <c r="K53" i="39"/>
  <c r="I53" i="39" s="1"/>
  <c r="X53" i="39"/>
  <c r="J53" i="39"/>
  <c r="L35" i="39"/>
  <c r="N51" i="39"/>
  <c r="M51" i="39"/>
  <c r="X51" i="39"/>
  <c r="N52" i="39"/>
  <c r="U32" i="39"/>
  <c r="T32" i="39"/>
  <c r="G30" i="39"/>
  <c r="L30" i="39"/>
  <c r="X40" i="39"/>
  <c r="M40" i="39"/>
  <c r="K23" i="39"/>
  <c r="I23" i="39" s="1"/>
  <c r="J40" i="39"/>
  <c r="N49" i="39"/>
  <c r="K49" i="39"/>
  <c r="I49" i="39" s="1"/>
  <c r="M49" i="39"/>
  <c r="N55" i="39"/>
  <c r="P55" i="39" s="1"/>
  <c r="Q55" i="39" s="1"/>
  <c r="M55" i="39"/>
  <c r="X55" i="39"/>
  <c r="X27" i="39"/>
  <c r="N27" i="39"/>
  <c r="H27" i="39"/>
  <c r="F27" i="39" s="1"/>
  <c r="G27" i="39" s="1"/>
  <c r="M27" i="39"/>
  <c r="J27" i="39"/>
  <c r="L43" i="39"/>
  <c r="T36" i="39"/>
  <c r="R36" i="39"/>
  <c r="V36" i="39" s="1"/>
  <c r="W36" i="39" s="1"/>
  <c r="U36" i="39"/>
  <c r="P36" i="39"/>
  <c r="Q36" i="39" s="1"/>
  <c r="N35" i="39"/>
  <c r="X35" i="39"/>
  <c r="P46" i="39"/>
  <c r="Q46" i="39" s="1"/>
  <c r="L33" i="39"/>
  <c r="L50" i="39"/>
  <c r="M41" i="39"/>
  <c r="X41" i="39"/>
  <c r="H41" i="39"/>
  <c r="F41" i="39" s="1"/>
  <c r="L41" i="39" s="1"/>
  <c r="U46" i="39"/>
  <c r="V46" i="39" s="1"/>
  <c r="W46" i="39" s="1"/>
  <c r="L40" i="39"/>
  <c r="K31" i="39"/>
  <c r="I31" i="39" s="1"/>
  <c r="X31" i="39"/>
  <c r="H31" i="39"/>
  <c r="F31" i="39" s="1"/>
  <c r="T46" i="39"/>
  <c r="N34" i="39"/>
  <c r="J50" i="39"/>
  <c r="N50" i="39"/>
  <c r="P50" i="39" s="1"/>
  <c r="Q50" i="39" s="1"/>
  <c r="X50" i="39"/>
  <c r="H50" i="39"/>
  <c r="F50" i="39" s="1"/>
  <c r="G50" i="39" s="1"/>
  <c r="K27" i="39"/>
  <c r="I27" i="39" s="1"/>
  <c r="L27" i="39" s="1"/>
  <c r="N30" i="39"/>
  <c r="H53" i="39"/>
  <c r="F53" i="39" s="1"/>
  <c r="G53" i="39" s="1"/>
  <c r="R39" i="39"/>
  <c r="U39" i="39"/>
  <c r="J48" i="39"/>
  <c r="K48" i="39"/>
  <c r="I48" i="39" s="1"/>
  <c r="L48" i="39" s="1"/>
  <c r="N48" i="39"/>
  <c r="P48" i="39" s="1"/>
  <c r="Q48" i="39" s="1"/>
  <c r="M48" i="39"/>
  <c r="X48" i="39"/>
  <c r="N40" i="39"/>
  <c r="N53" i="39"/>
  <c r="P53" i="39" s="1"/>
  <c r="Q53" i="39" s="1"/>
  <c r="H49" i="39"/>
  <c r="F49" i="39" s="1"/>
  <c r="N41" i="39"/>
  <c r="J49" i="39"/>
  <c r="N47" i="39"/>
  <c r="J47" i="39"/>
  <c r="L37" i="39"/>
  <c r="H47" i="39"/>
  <c r="F47" i="39" s="1"/>
  <c r="G47" i="39" s="1"/>
  <c r="H29" i="39"/>
  <c r="F29" i="39" s="1"/>
  <c r="M29" i="39"/>
  <c r="L45" i="39"/>
  <c r="D56" i="39"/>
  <c r="K42" i="46"/>
  <c r="P55" i="46"/>
  <c r="K39" i="46"/>
  <c r="G52" i="46"/>
  <c r="H52" i="46" s="1"/>
  <c r="P29" i="46"/>
  <c r="S51" i="46"/>
  <c r="I30" i="46"/>
  <c r="V30" i="46"/>
  <c r="Y30" i="46" s="1"/>
  <c r="V55" i="46"/>
  <c r="Y55" i="46" s="1"/>
  <c r="P42" i="46"/>
  <c r="T42" i="46" s="1"/>
  <c r="P30" i="46"/>
  <c r="T30" i="46" s="1"/>
  <c r="Z56" i="46"/>
  <c r="V42" i="46"/>
  <c r="T44" i="46"/>
  <c r="S44" i="46"/>
  <c r="V20" i="46"/>
  <c r="W20" i="46" s="1"/>
  <c r="K58" i="46"/>
  <c r="N58" i="46" s="1"/>
  <c r="K49" i="46"/>
  <c r="N49" i="46" s="1"/>
  <c r="T33" i="46"/>
  <c r="K51" i="46"/>
  <c r="L51" i="46" s="1"/>
  <c r="K25" i="46"/>
  <c r="M25" i="46" s="1"/>
  <c r="V46" i="46"/>
  <c r="S59" i="46"/>
  <c r="G44" i="46"/>
  <c r="H44" i="46" s="1"/>
  <c r="P57" i="46"/>
  <c r="Y47" i="46"/>
  <c r="V49" i="46"/>
  <c r="G58" i="46"/>
  <c r="H58" i="46" s="1"/>
  <c r="K31" i="46"/>
  <c r="L31" i="46" s="1"/>
  <c r="Y28" i="46"/>
  <c r="I44" i="46"/>
  <c r="I57" i="46"/>
  <c r="Z28" i="46"/>
  <c r="W47" i="46"/>
  <c r="P41" i="46"/>
  <c r="S41" i="46" s="1"/>
  <c r="P31" i="46"/>
  <c r="S31" i="46" s="1"/>
  <c r="V34" i="46"/>
  <c r="Z34" i="46" s="1"/>
  <c r="K40" i="46"/>
  <c r="N40" i="46" s="1"/>
  <c r="K55" i="46"/>
  <c r="N55" i="46" s="1"/>
  <c r="K36" i="46"/>
  <c r="L36" i="46" s="1"/>
  <c r="I58" i="46"/>
  <c r="V25" i="46"/>
  <c r="Y25" i="46" s="1"/>
  <c r="V41" i="46"/>
  <c r="Z41" i="46" s="1"/>
  <c r="K41" i="46"/>
  <c r="N41" i="46" s="1"/>
  <c r="G30" i="54"/>
  <c r="G55" i="54" s="1"/>
  <c r="G16" i="53"/>
  <c r="G50" i="53" s="1"/>
  <c r="G32" i="52"/>
  <c r="G33" i="52" s="1"/>
  <c r="P36" i="26"/>
  <c r="G45" i="43"/>
  <c r="G46" i="43" s="1"/>
  <c r="J13" i="43"/>
  <c r="G51" i="54"/>
  <c r="G56" i="54" s="1"/>
  <c r="G57" i="54" s="1"/>
  <c r="G58" i="54" s="1"/>
  <c r="G47" i="53"/>
  <c r="G52" i="53" s="1"/>
  <c r="G53" i="53" s="1"/>
  <c r="G54" i="53" s="1"/>
  <c r="G55" i="53" s="1"/>
  <c r="G30" i="51"/>
  <c r="G32" i="51" s="1"/>
  <c r="G33" i="49"/>
  <c r="G38" i="49" s="1"/>
  <c r="G38" i="50"/>
  <c r="G39" i="50" s="1"/>
  <c r="G29" i="49"/>
  <c r="G37" i="49" s="1"/>
  <c r="I22" i="16"/>
  <c r="J22" i="16" s="1"/>
  <c r="K22" i="16" s="1"/>
  <c r="G29" i="48"/>
  <c r="G30" i="48"/>
  <c r="M136" i="37"/>
  <c r="G89" i="37"/>
  <c r="P89" i="37" s="1"/>
  <c r="K70" i="37"/>
  <c r="L70" i="37" s="1"/>
  <c r="K69" i="37"/>
  <c r="L69" i="37" s="1"/>
  <c r="G63" i="37"/>
  <c r="H63" i="37" s="1"/>
  <c r="O63" i="37" s="1"/>
  <c r="G88" i="37"/>
  <c r="Q84" i="37"/>
  <c r="M68" i="37"/>
  <c r="G76" i="37"/>
  <c r="P76" i="37" s="1"/>
  <c r="G69" i="37"/>
  <c r="P69" i="37" s="1"/>
  <c r="Q83" i="37"/>
  <c r="M76" i="37"/>
  <c r="Q82" i="37"/>
  <c r="F38" i="56"/>
  <c r="G27" i="56"/>
  <c r="I27" i="56" s="1"/>
  <c r="M65" i="37"/>
  <c r="H28" i="56"/>
  <c r="E29" i="56"/>
  <c r="G189" i="16" s="1"/>
  <c r="K189" i="16" s="1"/>
  <c r="H192" i="57"/>
  <c r="G296" i="57"/>
  <c r="L291" i="57" s="1"/>
  <c r="E23" i="56" s="1"/>
  <c r="G183" i="16" s="1"/>
  <c r="K183" i="16" s="1"/>
  <c r="H199" i="57"/>
  <c r="H200" i="57" s="1"/>
  <c r="L183" i="57" s="1"/>
  <c r="E19" i="56" s="1"/>
  <c r="H122" i="57"/>
  <c r="L114" i="57" s="1"/>
  <c r="E13" i="56" s="1"/>
  <c r="E18" i="56"/>
  <c r="H572" i="57"/>
  <c r="L547" i="57" s="1"/>
  <c r="E44" i="56" s="1"/>
  <c r="G204" i="16" s="1"/>
  <c r="K204" i="16" s="1"/>
  <c r="L444" i="57"/>
  <c r="E38" i="56" s="1"/>
  <c r="G198" i="16" s="1"/>
  <c r="K198" i="16" s="1"/>
  <c r="H333" i="57"/>
  <c r="L298" i="57" s="1"/>
  <c r="E24" i="56" s="1"/>
  <c r="L229" i="57"/>
  <c r="E22" i="56" s="1"/>
  <c r="H535" i="57"/>
  <c r="L501" i="57" s="1"/>
  <c r="E42" i="56" s="1"/>
  <c r="G202" i="16" s="1"/>
  <c r="K202" i="16" s="1"/>
  <c r="H165" i="57"/>
  <c r="L411" i="57"/>
  <c r="E34" i="56" s="1"/>
  <c r="H172" i="57"/>
  <c r="I31" i="56"/>
  <c r="I30" i="56" s="1"/>
  <c r="I28" i="56"/>
  <c r="I12" i="56"/>
  <c r="H7" i="56"/>
  <c r="H6" i="56" s="1"/>
  <c r="I7" i="56"/>
  <c r="I6" i="56" s="1"/>
  <c r="AR39" i="39"/>
  <c r="AR24" i="39"/>
  <c r="AR44" i="39"/>
  <c r="AR41" i="39"/>
  <c r="AR29" i="39"/>
  <c r="V108" i="37"/>
  <c r="T181" i="37"/>
  <c r="AQ54" i="39"/>
  <c r="S167" i="37"/>
  <c r="S178" i="37"/>
  <c r="AQ51" i="39"/>
  <c r="AP47" i="39"/>
  <c r="S173" i="37"/>
  <c r="S164" i="37"/>
  <c r="S174" i="37"/>
  <c r="S177" i="37"/>
  <c r="AP43" i="39"/>
  <c r="AP23" i="39"/>
  <c r="AR48" i="39"/>
  <c r="AG27" i="46"/>
  <c r="Z136" i="37"/>
  <c r="AG43" i="46"/>
  <c r="AG32" i="46"/>
  <c r="AH35" i="39"/>
  <c r="AD33" i="39"/>
  <c r="AG59" i="46"/>
  <c r="AJ35" i="46"/>
  <c r="AG22" i="46"/>
  <c r="AQ28" i="46"/>
  <c r="AQ31" i="46"/>
  <c r="AQ45" i="46"/>
  <c r="AQ41" i="46"/>
  <c r="AQ59" i="46"/>
  <c r="T22" i="37"/>
  <c r="V123" i="37"/>
  <c r="AQ46" i="39"/>
  <c r="V42" i="37"/>
  <c r="AQ26" i="39"/>
  <c r="AA48" i="39"/>
  <c r="V26" i="37"/>
  <c r="AQ32" i="39"/>
  <c r="AQ53" i="39"/>
  <c r="AR49" i="39"/>
  <c r="V38" i="37"/>
  <c r="V120" i="37"/>
  <c r="Z109" i="37"/>
  <c r="AP28" i="39"/>
  <c r="AQ49" i="39"/>
  <c r="AQ41" i="39"/>
  <c r="AR42" i="39"/>
  <c r="V106" i="37"/>
  <c r="AQ24" i="39"/>
  <c r="AQ45" i="39"/>
  <c r="AR52" i="39"/>
  <c r="V115" i="37"/>
  <c r="AP34" i="39"/>
  <c r="S179" i="37"/>
  <c r="AR31" i="39"/>
  <c r="X116" i="37"/>
  <c r="AP42" i="39"/>
  <c r="S162" i="37"/>
  <c r="S176" i="37"/>
  <c r="S170" i="37"/>
  <c r="V125" i="37"/>
  <c r="AP50" i="39"/>
  <c r="U118" i="37"/>
  <c r="AR23" i="39"/>
  <c r="V47" i="37"/>
  <c r="S165" i="37"/>
  <c r="AP32" i="39"/>
  <c r="S180" i="37"/>
  <c r="V119" i="37"/>
  <c r="S166" i="37"/>
  <c r="V25" i="39"/>
  <c r="W25" i="39" s="1"/>
  <c r="G108" i="37"/>
  <c r="P108" i="37" s="1"/>
  <c r="K121" i="37"/>
  <c r="L121" i="37" s="1"/>
  <c r="K120" i="37"/>
  <c r="L120" i="37" s="1"/>
  <c r="K119" i="37"/>
  <c r="L119" i="37" s="1"/>
  <c r="M122" i="37"/>
  <c r="G122" i="37"/>
  <c r="P122" i="37" s="1"/>
  <c r="H108" i="37"/>
  <c r="O108" i="37" s="1"/>
  <c r="G121" i="37"/>
  <c r="P121" i="37" s="1"/>
  <c r="G120" i="37"/>
  <c r="P120" i="37" s="1"/>
  <c r="W174" i="37"/>
  <c r="X167" i="37"/>
  <c r="X169" i="37"/>
  <c r="Z148" i="37"/>
  <c r="X164" i="37"/>
  <c r="S204" i="37"/>
  <c r="L34" i="39"/>
  <c r="L28" i="39"/>
  <c r="L44" i="39"/>
  <c r="G44" i="39"/>
  <c r="G48" i="39"/>
  <c r="L26" i="39"/>
  <c r="G26" i="39"/>
  <c r="G25" i="39"/>
  <c r="L25" i="39"/>
  <c r="G29" i="39"/>
  <c r="L29" i="39"/>
  <c r="L42" i="39"/>
  <c r="G42" i="39"/>
  <c r="L31" i="39"/>
  <c r="G31" i="39"/>
  <c r="L24" i="39"/>
  <c r="G24" i="39"/>
  <c r="R52" i="39"/>
  <c r="U28" i="39"/>
  <c r="P44" i="39"/>
  <c r="Q44" i="39" s="1"/>
  <c r="L38" i="39"/>
  <c r="T28" i="39"/>
  <c r="R44" i="39"/>
  <c r="P38" i="39"/>
  <c r="Q38" i="39" s="1"/>
  <c r="R28" i="39"/>
  <c r="P24" i="39"/>
  <c r="Q24" i="39" s="1"/>
  <c r="U44" i="39"/>
  <c r="P35" i="39"/>
  <c r="Q35" i="39" s="1"/>
  <c r="U38" i="39"/>
  <c r="T38" i="39"/>
  <c r="T31" i="39"/>
  <c r="T30" i="39"/>
  <c r="R31" i="39"/>
  <c r="G46" i="39"/>
  <c r="R30" i="39"/>
  <c r="L54" i="39"/>
  <c r="L32" i="39"/>
  <c r="R32" i="39"/>
  <c r="L36" i="39"/>
  <c r="P39" i="39"/>
  <c r="Q39" i="39" s="1"/>
  <c r="T39" i="39"/>
  <c r="P34" i="39"/>
  <c r="Q34" i="39" s="1"/>
  <c r="T24" i="39"/>
  <c r="U42" i="39"/>
  <c r="G45" i="39"/>
  <c r="U33" i="39"/>
  <c r="L39" i="39"/>
  <c r="T51" i="39"/>
  <c r="U37" i="39"/>
  <c r="R24" i="39"/>
  <c r="T37" i="39"/>
  <c r="V37" i="39" s="1"/>
  <c r="W37" i="39" s="1"/>
  <c r="P33" i="39"/>
  <c r="Q33" i="39" s="1"/>
  <c r="R26" i="39"/>
  <c r="U26" i="39"/>
  <c r="T42" i="39"/>
  <c r="R51" i="39"/>
  <c r="P31" i="39"/>
  <c r="Q31" i="39" s="1"/>
  <c r="R42" i="39"/>
  <c r="P26" i="39"/>
  <c r="Q26" i="39" s="1"/>
  <c r="P45" i="39"/>
  <c r="Q45" i="39" s="1"/>
  <c r="U50" i="39"/>
  <c r="G33" i="39"/>
  <c r="V45" i="39"/>
  <c r="W45" i="39" s="1"/>
  <c r="V29" i="39"/>
  <c r="W29" i="39" s="1"/>
  <c r="V43" i="39"/>
  <c r="W43" i="39" s="1"/>
  <c r="H17" i="37"/>
  <c r="O17" i="37" s="1"/>
  <c r="O51" i="37"/>
  <c r="I54" i="37"/>
  <c r="J54" i="37" s="1"/>
  <c r="H39" i="37"/>
  <c r="O39" i="37" s="1"/>
  <c r="H52" i="37"/>
  <c r="N52" i="37" s="1"/>
  <c r="I52" i="37" s="1"/>
  <c r="J52" i="37" s="1"/>
  <c r="O35" i="37"/>
  <c r="Q47" i="37"/>
  <c r="I35" i="37"/>
  <c r="J35" i="37" s="1"/>
  <c r="K47" i="37"/>
  <c r="L47" i="37" s="1"/>
  <c r="M47" i="37"/>
  <c r="Q44" i="37"/>
  <c r="K63" i="37"/>
  <c r="L63" i="37" s="1"/>
  <c r="M82" i="37"/>
  <c r="G80" i="37"/>
  <c r="P80" i="37" s="1"/>
  <c r="M70" i="37"/>
  <c r="G87" i="37"/>
  <c r="I63" i="37"/>
  <c r="K89" i="37"/>
  <c r="L89" i="37" s="1"/>
  <c r="M90" i="37"/>
  <c r="K88" i="37"/>
  <c r="L88" i="37" s="1"/>
  <c r="M87" i="37"/>
  <c r="G68" i="37"/>
  <c r="P68" i="37" s="1"/>
  <c r="G66" i="37"/>
  <c r="P66" i="37" s="1"/>
  <c r="E98" i="37"/>
  <c r="K90" i="37"/>
  <c r="L90" i="37" s="1"/>
  <c r="K87" i="37"/>
  <c r="L87" i="37" s="1"/>
  <c r="M88" i="37"/>
  <c r="H68" i="37"/>
  <c r="N68" i="37" s="1"/>
  <c r="I68" i="37" s="1"/>
  <c r="J68" i="37" s="1"/>
  <c r="Q123" i="37"/>
  <c r="Q122" i="37"/>
  <c r="M119" i="37"/>
  <c r="Q120" i="37"/>
  <c r="M118" i="37"/>
  <c r="M121" i="37"/>
  <c r="G109" i="37"/>
  <c r="P109" i="37" s="1"/>
  <c r="O135" i="37"/>
  <c r="N135" i="37"/>
  <c r="H146" i="37"/>
  <c r="K144" i="37"/>
  <c r="L144" i="37" s="1"/>
  <c r="K143" i="37"/>
  <c r="L143" i="37" s="1"/>
  <c r="G145" i="37"/>
  <c r="P145" i="37" s="1"/>
  <c r="E154" i="37"/>
  <c r="K142" i="37"/>
  <c r="L142" i="37" s="1"/>
  <c r="K141" i="37"/>
  <c r="L141" i="37" s="1"/>
  <c r="K140" i="37"/>
  <c r="L140" i="37" s="1"/>
  <c r="K139" i="37"/>
  <c r="L139" i="37" s="1"/>
  <c r="I134" i="37"/>
  <c r="Q141" i="37"/>
  <c r="K138" i="37"/>
  <c r="L138" i="37" s="1"/>
  <c r="Q139" i="37"/>
  <c r="G139" i="37"/>
  <c r="P139" i="37" s="1"/>
  <c r="Q138" i="37"/>
  <c r="L134" i="37"/>
  <c r="Q140" i="37"/>
  <c r="K137" i="37"/>
  <c r="L137" i="37" s="1"/>
  <c r="Q137" i="37"/>
  <c r="O136" i="37"/>
  <c r="K136" i="37"/>
  <c r="L136" i="37" s="1"/>
  <c r="K19" i="37"/>
  <c r="L19" i="37" s="1"/>
  <c r="M67" i="37"/>
  <c r="M66" i="37"/>
  <c r="K66" i="37"/>
  <c r="L66" i="37" s="1"/>
  <c r="Q65" i="37"/>
  <c r="K65" i="37"/>
  <c r="L65" i="37" s="1"/>
  <c r="K31" i="37"/>
  <c r="L31" i="37" s="1"/>
  <c r="Q31" i="37"/>
  <c r="M31" i="37"/>
  <c r="K27" i="37"/>
  <c r="L27" i="37" s="1"/>
  <c r="H27" i="37"/>
  <c r="K77" i="37"/>
  <c r="L77" i="37" s="1"/>
  <c r="G77" i="37"/>
  <c r="P77" i="37" s="1"/>
  <c r="O19" i="37"/>
  <c r="M72" i="37"/>
  <c r="K72" i="37"/>
  <c r="L72" i="37" s="1"/>
  <c r="N138" i="37"/>
  <c r="G119" i="37"/>
  <c r="P119" i="37" s="1"/>
  <c r="N137" i="37"/>
  <c r="Q145" i="37"/>
  <c r="K145" i="37"/>
  <c r="L145" i="37" s="1"/>
  <c r="G117" i="37"/>
  <c r="K117" i="37"/>
  <c r="L117" i="37" s="1"/>
  <c r="K33" i="37"/>
  <c r="L33" i="37" s="1"/>
  <c r="H33" i="37"/>
  <c r="Q33" i="37"/>
  <c r="M33" i="37"/>
  <c r="H53" i="37"/>
  <c r="Q53" i="37"/>
  <c r="K111" i="37"/>
  <c r="L111" i="37" s="1"/>
  <c r="M111" i="37"/>
  <c r="H31" i="37"/>
  <c r="Q45" i="37"/>
  <c r="K45" i="37"/>
  <c r="L45" i="37" s="1"/>
  <c r="H45" i="37"/>
  <c r="M45" i="37"/>
  <c r="K48" i="37"/>
  <c r="L48" i="37" s="1"/>
  <c r="Q48" i="37"/>
  <c r="N49" i="37"/>
  <c r="I49" i="37" s="1"/>
  <c r="J49" i="37" s="1"/>
  <c r="K41" i="37"/>
  <c r="L41" i="37" s="1"/>
  <c r="M144" i="37"/>
  <c r="I144" i="37" s="1"/>
  <c r="J144" i="37" s="1"/>
  <c r="G144" i="37"/>
  <c r="P144" i="37" s="1"/>
  <c r="M117" i="37"/>
  <c r="K116" i="37"/>
  <c r="L116" i="37" s="1"/>
  <c r="G116" i="37"/>
  <c r="M116" i="37"/>
  <c r="H32" i="37"/>
  <c r="K32" i="37"/>
  <c r="L32" i="37" s="1"/>
  <c r="Q32" i="37"/>
  <c r="M32" i="37"/>
  <c r="K79" i="37"/>
  <c r="L79" i="37" s="1"/>
  <c r="M79" i="37"/>
  <c r="G79" i="37"/>
  <c r="P79" i="37" s="1"/>
  <c r="Q97" i="37"/>
  <c r="G97" i="37"/>
  <c r="M97" i="37"/>
  <c r="K97" i="37"/>
  <c r="L97" i="37" s="1"/>
  <c r="Q77" i="37"/>
  <c r="Q146" i="37"/>
  <c r="K146" i="37"/>
  <c r="L146" i="37" s="1"/>
  <c r="K53" i="37"/>
  <c r="L53" i="37" s="1"/>
  <c r="M143" i="37"/>
  <c r="I143" i="37" s="1"/>
  <c r="J143" i="37" s="1"/>
  <c r="G143" i="37"/>
  <c r="P143" i="37" s="1"/>
  <c r="H115" i="37"/>
  <c r="M115" i="37"/>
  <c r="K115" i="37"/>
  <c r="L115" i="37" s="1"/>
  <c r="Q63" i="37"/>
  <c r="H81" i="37"/>
  <c r="O81" i="37" s="1"/>
  <c r="P86" i="37"/>
  <c r="H86" i="37"/>
  <c r="N48" i="37"/>
  <c r="I48" i="37" s="1"/>
  <c r="J48" i="37" s="1"/>
  <c r="O48" i="37"/>
  <c r="K80" i="37"/>
  <c r="L80" i="37" s="1"/>
  <c r="M80" i="37"/>
  <c r="K78" i="37"/>
  <c r="L78" i="37" s="1"/>
  <c r="M78" i="37"/>
  <c r="G78" i="37"/>
  <c r="P78" i="37" s="1"/>
  <c r="G96" i="37"/>
  <c r="M96" i="37"/>
  <c r="Q96" i="37"/>
  <c r="K96" i="37"/>
  <c r="L96" i="37" s="1"/>
  <c r="H76" i="37"/>
  <c r="K76" i="37"/>
  <c r="L76" i="37" s="1"/>
  <c r="I17" i="37"/>
  <c r="J17" i="37" s="1"/>
  <c r="N17" i="37"/>
  <c r="G95" i="37"/>
  <c r="H95" i="37" s="1"/>
  <c r="K95" i="37"/>
  <c r="L95" i="37" s="1"/>
  <c r="Q75" i="37"/>
  <c r="K75" i="37"/>
  <c r="L75" i="37" s="1"/>
  <c r="G94" i="37"/>
  <c r="P94" i="37" s="1"/>
  <c r="K94" i="37"/>
  <c r="L94" i="37" s="1"/>
  <c r="G74" i="37"/>
  <c r="P74" i="37" s="1"/>
  <c r="K74" i="37"/>
  <c r="L74" i="37" s="1"/>
  <c r="Q80" i="37"/>
  <c r="M93" i="37"/>
  <c r="K93" i="37"/>
  <c r="L93" i="37" s="1"/>
  <c r="M73" i="37"/>
  <c r="K73" i="37"/>
  <c r="L73" i="37" s="1"/>
  <c r="M92" i="37"/>
  <c r="K92" i="37"/>
  <c r="L92" i="37" s="1"/>
  <c r="Q41" i="37"/>
  <c r="G118" i="37"/>
  <c r="P118" i="37" s="1"/>
  <c r="K118" i="37"/>
  <c r="L118" i="37" s="1"/>
  <c r="H83" i="37"/>
  <c r="O83" i="37" s="1"/>
  <c r="P83" i="37"/>
  <c r="N136" i="37"/>
  <c r="I136" i="37" s="1"/>
  <c r="J136" i="37" s="1"/>
  <c r="G142" i="37"/>
  <c r="P142" i="37" s="1"/>
  <c r="M142" i="37"/>
  <c r="I142" i="37" s="1"/>
  <c r="J142" i="37" s="1"/>
  <c r="H89" i="37"/>
  <c r="N89" i="37" s="1"/>
  <c r="I89" i="37" s="1"/>
  <c r="J89" i="37" s="1"/>
  <c r="N34" i="37"/>
  <c r="I34" i="37" s="1"/>
  <c r="J34" i="37" s="1"/>
  <c r="G67" i="37"/>
  <c r="Q86" i="37"/>
  <c r="M24" i="37"/>
  <c r="H42" i="37"/>
  <c r="M110" i="37"/>
  <c r="Q85" i="37"/>
  <c r="N39" i="37"/>
  <c r="I39" i="37" s="1"/>
  <c r="J39" i="37" s="1"/>
  <c r="J182" i="37"/>
  <c r="G93" i="16" s="1"/>
  <c r="K93" i="16" s="1"/>
  <c r="H151" i="37"/>
  <c r="N151" i="37" s="1"/>
  <c r="H153" i="37"/>
  <c r="Q125" i="37"/>
  <c r="M23" i="37"/>
  <c r="P134" i="37"/>
  <c r="M141" i="37"/>
  <c r="I141" i="37" s="1"/>
  <c r="J141" i="37" s="1"/>
  <c r="Q124" i="37"/>
  <c r="Q20" i="37"/>
  <c r="K91" i="37"/>
  <c r="L91" i="37" s="1"/>
  <c r="K71" i="37"/>
  <c r="L71" i="37" s="1"/>
  <c r="M22" i="37"/>
  <c r="G18" i="39"/>
  <c r="H20" i="46"/>
  <c r="M20" i="46"/>
  <c r="Z58" i="46"/>
  <c r="Y58" i="46"/>
  <c r="W58" i="46"/>
  <c r="S47" i="46"/>
  <c r="T47" i="46"/>
  <c r="R47" i="46"/>
  <c r="M42" i="46"/>
  <c r="N42" i="46"/>
  <c r="L42" i="46"/>
  <c r="M43" i="46"/>
  <c r="L43" i="46"/>
  <c r="N39" i="46"/>
  <c r="M39" i="46"/>
  <c r="Y59" i="46"/>
  <c r="Z59" i="46"/>
  <c r="W59" i="46"/>
  <c r="T36" i="46"/>
  <c r="S36" i="46"/>
  <c r="R36" i="46"/>
  <c r="L41" i="46"/>
  <c r="M41" i="46"/>
  <c r="N36" i="46"/>
  <c r="M36" i="46"/>
  <c r="W31" i="46"/>
  <c r="Y31" i="46"/>
  <c r="Z31" i="46"/>
  <c r="P39" i="46"/>
  <c r="R39" i="46" s="1"/>
  <c r="I39" i="46"/>
  <c r="L33" i="46"/>
  <c r="I47" i="46"/>
  <c r="Z44" i="46"/>
  <c r="I34" i="46"/>
  <c r="G54" i="46"/>
  <c r="H54" i="46" s="1"/>
  <c r="V43" i="46"/>
  <c r="V51" i="46"/>
  <c r="G39" i="46"/>
  <c r="H39" i="46" s="1"/>
  <c r="K26" i="46"/>
  <c r="L26" i="46" s="1"/>
  <c r="K54" i="46"/>
  <c r="L54" i="46" s="1"/>
  <c r="G47" i="46"/>
  <c r="H47" i="46" s="1"/>
  <c r="V40" i="46"/>
  <c r="V52" i="46"/>
  <c r="Z52" i="46" s="1"/>
  <c r="P43" i="46"/>
  <c r="G32" i="46"/>
  <c r="H32" i="46" s="1"/>
  <c r="I42" i="46"/>
  <c r="P40" i="46"/>
  <c r="T51" i="46"/>
  <c r="G26" i="46"/>
  <c r="H26" i="46" s="1"/>
  <c r="V39" i="46"/>
  <c r="I29" i="46"/>
  <c r="Z36" i="46"/>
  <c r="Y36" i="46"/>
  <c r="I36" i="46"/>
  <c r="T56" i="46"/>
  <c r="R56" i="46"/>
  <c r="T59" i="46"/>
  <c r="K34" i="46"/>
  <c r="K59" i="46"/>
  <c r="G46" i="46"/>
  <c r="H46" i="46" s="1"/>
  <c r="P46" i="46"/>
  <c r="K47" i="46"/>
  <c r="L47" i="46" s="1"/>
  <c r="V45" i="46"/>
  <c r="P52" i="46"/>
  <c r="R52" i="46" s="1"/>
  <c r="K28" i="46"/>
  <c r="P53" i="46"/>
  <c r="T53" i="46" s="1"/>
  <c r="I27" i="46"/>
  <c r="V26" i="46"/>
  <c r="G50" i="46"/>
  <c r="H50" i="46" s="1"/>
  <c r="K35" i="46"/>
  <c r="L35" i="46" s="1"/>
  <c r="K45" i="46"/>
  <c r="N45" i="46" s="1"/>
  <c r="P58" i="46"/>
  <c r="V54" i="46"/>
  <c r="Y54" i="46" s="1"/>
  <c r="I45" i="46"/>
  <c r="K27" i="46"/>
  <c r="M27" i="46" s="1"/>
  <c r="P45" i="46"/>
  <c r="G59" i="46"/>
  <c r="H59" i="46" s="1"/>
  <c r="M33" i="46"/>
  <c r="P32" i="46"/>
  <c r="S32" i="46" s="1"/>
  <c r="S33" i="46"/>
  <c r="G48" i="46"/>
  <c r="H48" i="46" s="1"/>
  <c r="K44" i="46"/>
  <c r="L44" i="46" s="1"/>
  <c r="I35" i="46"/>
  <c r="P48" i="46"/>
  <c r="R48" i="46" s="1"/>
  <c r="G36" i="46"/>
  <c r="H36" i="46" s="1"/>
  <c r="P34" i="46"/>
  <c r="AA46" i="39"/>
  <c r="AC22" i="39"/>
  <c r="AJ41" i="39"/>
  <c r="S195" i="37"/>
  <c r="AD24" i="39"/>
  <c r="AD22" i="46"/>
  <c r="AD50" i="46"/>
  <c r="AD53" i="46"/>
  <c r="AB24" i="39"/>
  <c r="AD51" i="46"/>
  <c r="AD35" i="39"/>
  <c r="AE263" i="37"/>
  <c r="AF263" i="37" s="1"/>
  <c r="S81" i="37"/>
  <c r="V112" i="37"/>
  <c r="AB36" i="39"/>
  <c r="AD52" i="46"/>
  <c r="AD30" i="39"/>
  <c r="AQ32" i="46"/>
  <c r="U176" i="37"/>
  <c r="AA35" i="37"/>
  <c r="U121" i="37"/>
  <c r="AB22" i="39"/>
  <c r="AB48" i="39"/>
  <c r="AQ21" i="39"/>
  <c r="AD42" i="39"/>
  <c r="Z35" i="37"/>
  <c r="S209" i="37"/>
  <c r="AB121" i="37"/>
  <c r="S208" i="37"/>
  <c r="AB109" i="37"/>
  <c r="AD18" i="39"/>
  <c r="S206" i="37"/>
  <c r="AD37" i="39"/>
  <c r="AA172" i="37"/>
  <c r="U80" i="37"/>
  <c r="AD29" i="39"/>
  <c r="T146" i="37"/>
  <c r="AA170" i="37"/>
  <c r="AB28" i="39"/>
  <c r="V116" i="37"/>
  <c r="AD22" i="39"/>
  <c r="AD23" i="46"/>
  <c r="AC55" i="39"/>
  <c r="AH20" i="46"/>
  <c r="AQ55" i="46"/>
  <c r="AD28" i="39"/>
  <c r="AA174" i="37"/>
  <c r="AD37" i="46"/>
  <c r="AD46" i="39"/>
  <c r="AC19" i="39"/>
  <c r="AD51" i="39"/>
  <c r="AD36" i="39"/>
  <c r="AJ38" i="39"/>
  <c r="AD25" i="46"/>
  <c r="AD20" i="39"/>
  <c r="AB19" i="39"/>
  <c r="AA177" i="37"/>
  <c r="AB44" i="39"/>
  <c r="AA180" i="37"/>
  <c r="AB30" i="39"/>
  <c r="AD45" i="46"/>
  <c r="AE41" i="46"/>
  <c r="AD50" i="39"/>
  <c r="AB112" i="37"/>
  <c r="AD43" i="39"/>
  <c r="X180" i="37"/>
  <c r="T149" i="37"/>
  <c r="W172" i="37"/>
  <c r="AB25" i="39"/>
  <c r="AQ30" i="46"/>
  <c r="AD39" i="39"/>
  <c r="AB23" i="39"/>
  <c r="Z26" i="37"/>
  <c r="AI29" i="39"/>
  <c r="AI48" i="39"/>
  <c r="Z151" i="37"/>
  <c r="AI20" i="39"/>
  <c r="Z150" i="37"/>
  <c r="AH34" i="46"/>
  <c r="AB40" i="39"/>
  <c r="AD29" i="46"/>
  <c r="AD34" i="46"/>
  <c r="AJ20" i="39"/>
  <c r="AD54" i="39"/>
  <c r="AA94" i="37"/>
  <c r="AA169" i="37"/>
  <c r="T143" i="37"/>
  <c r="AD44" i="46"/>
  <c r="AI25" i="39"/>
  <c r="AR25" i="39"/>
  <c r="S120" i="37"/>
  <c r="AJ53" i="39"/>
  <c r="AA48" i="37"/>
  <c r="Z152" i="37"/>
  <c r="AB54" i="39"/>
  <c r="AJ44" i="46"/>
  <c r="T141" i="37"/>
  <c r="AE49" i="46"/>
  <c r="AD20" i="46"/>
  <c r="AE37" i="46"/>
  <c r="AB34" i="39"/>
  <c r="AR47" i="39"/>
  <c r="AA18" i="39"/>
  <c r="AI52" i="39"/>
  <c r="AA86" i="37"/>
  <c r="Z48" i="37"/>
  <c r="X162" i="37"/>
  <c r="AB29" i="39"/>
  <c r="AB193" i="37"/>
  <c r="AF55" i="46"/>
  <c r="AQ36" i="46"/>
  <c r="AD39" i="46"/>
  <c r="AE31" i="46"/>
  <c r="AB43" i="39"/>
  <c r="AR40" i="39"/>
  <c r="AC33" i="39"/>
  <c r="U180" i="37"/>
  <c r="W38" i="37"/>
  <c r="AI18" i="39"/>
  <c r="AB32" i="39"/>
  <c r="AE58" i="46"/>
  <c r="AJ34" i="46"/>
  <c r="AD31" i="46"/>
  <c r="AR26" i="39"/>
  <c r="AC39" i="39"/>
  <c r="AD55" i="39"/>
  <c r="AD32" i="46"/>
  <c r="AF32" i="46"/>
  <c r="AE43" i="46"/>
  <c r="AP22" i="46"/>
  <c r="AE21" i="46"/>
  <c r="AR43" i="39"/>
  <c r="AD19" i="39"/>
  <c r="W18" i="37"/>
  <c r="Z142" i="37"/>
  <c r="AB49" i="39"/>
  <c r="AB21" i="39"/>
  <c r="AD21" i="46"/>
  <c r="AD30" i="46"/>
  <c r="AE22" i="46"/>
  <c r="AD21" i="39"/>
  <c r="AR22" i="39"/>
  <c r="AH28" i="39"/>
  <c r="AD23" i="39"/>
  <c r="AJ48" i="46"/>
  <c r="AR20" i="39"/>
  <c r="W75" i="37"/>
  <c r="AJ52" i="46"/>
  <c r="V190" i="37"/>
  <c r="AR50" i="39"/>
  <c r="AD49" i="39"/>
  <c r="AR37" i="39"/>
  <c r="AB46" i="39"/>
  <c r="AD24" i="46"/>
  <c r="AR35" i="39"/>
  <c r="AE45" i="46"/>
  <c r="AB53" i="39"/>
  <c r="AD28" i="46"/>
  <c r="AB35" i="39"/>
  <c r="AR38" i="39"/>
  <c r="AD32" i="39"/>
  <c r="Z75" i="37"/>
  <c r="AA166" i="37"/>
  <c r="AT43" i="39"/>
  <c r="AD45" i="39"/>
  <c r="AB55" i="39"/>
  <c r="AB51" i="39"/>
  <c r="AD42" i="46"/>
  <c r="AD33" i="46"/>
  <c r="AE55" i="46"/>
  <c r="AD25" i="39"/>
  <c r="AR55" i="39"/>
  <c r="T144" i="37"/>
  <c r="AR34" i="39"/>
  <c r="AD41" i="39"/>
  <c r="AR33" i="39"/>
  <c r="W51" i="37"/>
  <c r="AI21" i="39"/>
  <c r="S22" i="37"/>
  <c r="AB47" i="39"/>
  <c r="AO35" i="39"/>
  <c r="AG39" i="46"/>
  <c r="AB42" i="39"/>
  <c r="AD53" i="39"/>
  <c r="AB45" i="39"/>
  <c r="AO53" i="39"/>
  <c r="AR28" i="39"/>
  <c r="AB18" i="39"/>
  <c r="AD27" i="46"/>
  <c r="AE40" i="46"/>
  <c r="AI44" i="39"/>
  <c r="S109" i="37"/>
  <c r="AC53" i="39"/>
  <c r="AB111" i="37"/>
  <c r="AJ56" i="46"/>
  <c r="AD35" i="46"/>
  <c r="AB37" i="39"/>
  <c r="AD46" i="46"/>
  <c r="AR30" i="39"/>
  <c r="X75" i="37"/>
  <c r="S136" i="37"/>
  <c r="AA171" i="37"/>
  <c r="AB50" i="39"/>
  <c r="AG31" i="39"/>
  <c r="AB38" i="39"/>
  <c r="S113" i="37"/>
  <c r="AD26" i="39"/>
  <c r="AR36" i="39"/>
  <c r="AB208" i="37"/>
  <c r="AR32" i="39"/>
  <c r="AR19" i="39"/>
  <c r="AA195" i="37"/>
  <c r="V20" i="37"/>
  <c r="V51" i="37"/>
  <c r="G29" i="56"/>
  <c r="I29" i="56" s="1"/>
  <c r="H29" i="56"/>
  <c r="G24" i="56"/>
  <c r="R26" i="46"/>
  <c r="S26" i="46"/>
  <c r="T26" i="46"/>
  <c r="M28" i="46"/>
  <c r="N28" i="46"/>
  <c r="L28" i="46"/>
  <c r="M48" i="46"/>
  <c r="N48" i="46"/>
  <c r="L48" i="46"/>
  <c r="Y53" i="46"/>
  <c r="Z53" i="46"/>
  <c r="W53" i="46"/>
  <c r="R50" i="46"/>
  <c r="T50" i="46"/>
  <c r="S50" i="46"/>
  <c r="T25" i="46"/>
  <c r="S25" i="46"/>
  <c r="R25" i="46"/>
  <c r="W37" i="46"/>
  <c r="Z37" i="46"/>
  <c r="Y37" i="46"/>
  <c r="M52" i="46"/>
  <c r="N52" i="46"/>
  <c r="L52" i="46"/>
  <c r="S54" i="46"/>
  <c r="R54" i="46"/>
  <c r="T54" i="46"/>
  <c r="M46" i="46"/>
  <c r="L46" i="46"/>
  <c r="N46" i="46"/>
  <c r="N53" i="46"/>
  <c r="M53" i="46"/>
  <c r="L53" i="46"/>
  <c r="W32" i="46"/>
  <c r="Z32" i="46"/>
  <c r="Y32" i="46"/>
  <c r="M54" i="46"/>
  <c r="N54" i="46"/>
  <c r="S49" i="46"/>
  <c r="R49" i="46"/>
  <c r="T49" i="46"/>
  <c r="P37" i="46"/>
  <c r="N43" i="46"/>
  <c r="L57" i="46"/>
  <c r="K37" i="46"/>
  <c r="G49" i="46"/>
  <c r="H49" i="46" s="1"/>
  <c r="L56" i="46"/>
  <c r="I26" i="46"/>
  <c r="P27" i="46"/>
  <c r="W25" i="46"/>
  <c r="T55" i="46"/>
  <c r="L39" i="46"/>
  <c r="G35" i="46"/>
  <c r="H35" i="46" s="1"/>
  <c r="W52" i="46"/>
  <c r="Z48" i="46"/>
  <c r="K30" i="46"/>
  <c r="L20" i="46"/>
  <c r="S48" i="46"/>
  <c r="Y56" i="46"/>
  <c r="G34" i="46"/>
  <c r="H34" i="46" s="1"/>
  <c r="I54" i="46"/>
  <c r="V57" i="46"/>
  <c r="K29" i="46"/>
  <c r="Z55" i="46"/>
  <c r="N20" i="46"/>
  <c r="L25" i="46"/>
  <c r="M51" i="46"/>
  <c r="W55" i="46"/>
  <c r="V29" i="46"/>
  <c r="P38" i="46"/>
  <c r="R44" i="46"/>
  <c r="Y33" i="46"/>
  <c r="P35" i="46"/>
  <c r="K50" i="46"/>
  <c r="W30" i="46"/>
  <c r="N57" i="46"/>
  <c r="V35" i="46"/>
  <c r="G37" i="46"/>
  <c r="H37" i="46" s="1"/>
  <c r="S28" i="46"/>
  <c r="W41" i="46"/>
  <c r="V50" i="46"/>
  <c r="Y48" i="46"/>
  <c r="N25" i="46"/>
  <c r="N51" i="46"/>
  <c r="I43" i="46"/>
  <c r="L32" i="46"/>
  <c r="I32" i="46"/>
  <c r="R33" i="46"/>
  <c r="I28" i="46"/>
  <c r="S42" i="46"/>
  <c r="T29" i="46"/>
  <c r="Z33" i="46"/>
  <c r="I50" i="46"/>
  <c r="R42" i="46"/>
  <c r="I31" i="46"/>
  <c r="V27" i="46"/>
  <c r="Z30" i="46"/>
  <c r="Z25" i="46"/>
  <c r="R28" i="46"/>
  <c r="Y41" i="46"/>
  <c r="I37" i="46"/>
  <c r="N56" i="46"/>
  <c r="K38" i="46"/>
  <c r="V38" i="46"/>
  <c r="I41" i="46"/>
  <c r="I20" i="46"/>
  <c r="O23" i="37"/>
  <c r="N23" i="37"/>
  <c r="O21" i="37"/>
  <c r="N21" i="37"/>
  <c r="I21" i="37" s="1"/>
  <c r="J21" i="37" s="1"/>
  <c r="O36" i="37"/>
  <c r="N36" i="37"/>
  <c r="I36" i="37" s="1"/>
  <c r="J36" i="37" s="1"/>
  <c r="H26" i="37"/>
  <c r="Q29" i="37"/>
  <c r="Q27" i="37"/>
  <c r="Q46" i="37"/>
  <c r="K50" i="37"/>
  <c r="L50" i="37" s="1"/>
  <c r="Q26" i="37"/>
  <c r="K24" i="37"/>
  <c r="L24" i="37" s="1"/>
  <c r="H24" i="37"/>
  <c r="M38" i="37"/>
  <c r="Q40" i="37"/>
  <c r="M41" i="37"/>
  <c r="O41" i="37" s="1"/>
  <c r="Q43" i="37"/>
  <c r="M44" i="37"/>
  <c r="N44" i="37" s="1"/>
  <c r="Q25" i="37"/>
  <c r="K23" i="37"/>
  <c r="L23" i="37" s="1"/>
  <c r="M29" i="37"/>
  <c r="K30" i="37"/>
  <c r="L30" i="37" s="1"/>
  <c r="K28" i="37"/>
  <c r="L28" i="37" s="1"/>
  <c r="K25" i="37"/>
  <c r="L25" i="37" s="1"/>
  <c r="K22" i="37"/>
  <c r="L22" i="37" s="1"/>
  <c r="H30" i="37"/>
  <c r="K37" i="37"/>
  <c r="L37" i="37" s="1"/>
  <c r="Q49" i="37"/>
  <c r="M50" i="37"/>
  <c r="Q23" i="37"/>
  <c r="K21" i="37"/>
  <c r="L21" i="37" s="1"/>
  <c r="M28" i="37"/>
  <c r="K26" i="37"/>
  <c r="L26" i="37" s="1"/>
  <c r="M30" i="37"/>
  <c r="K46" i="37"/>
  <c r="L46" i="37" s="1"/>
  <c r="O49" i="37"/>
  <c r="Q52" i="37"/>
  <c r="M53" i="37"/>
  <c r="Q22" i="37"/>
  <c r="K40" i="37"/>
  <c r="L40" i="37" s="1"/>
  <c r="K43" i="37"/>
  <c r="L43" i="37" s="1"/>
  <c r="O52" i="37"/>
  <c r="Q21" i="37"/>
  <c r="M27" i="37"/>
  <c r="H29" i="37"/>
  <c r="O34" i="37"/>
  <c r="M37" i="37"/>
  <c r="N20" i="37"/>
  <c r="I20" i="37" s="1"/>
  <c r="J20" i="37" s="1"/>
  <c r="N33" i="37"/>
  <c r="Q28" i="37"/>
  <c r="H37" i="37"/>
  <c r="M46" i="37"/>
  <c r="N19" i="37"/>
  <c r="I19" i="37" s="1"/>
  <c r="J19" i="37" s="1"/>
  <c r="AI295" i="37"/>
  <c r="H25" i="37"/>
  <c r="M40" i="37"/>
  <c r="M43" i="37"/>
  <c r="O45" i="37"/>
  <c r="P65" i="37"/>
  <c r="H65" i="37"/>
  <c r="Q94" i="37"/>
  <c r="Q74" i="37"/>
  <c r="M95" i="37"/>
  <c r="M85" i="37"/>
  <c r="M75" i="37"/>
  <c r="G92" i="37"/>
  <c r="P92" i="37" s="1"/>
  <c r="G72" i="37"/>
  <c r="P72" i="37" s="1"/>
  <c r="G75" i="37"/>
  <c r="G93" i="37"/>
  <c r="P93" i="37" s="1"/>
  <c r="G73" i="37"/>
  <c r="P73" i="37" s="1"/>
  <c r="Q95" i="37"/>
  <c r="H85" i="37"/>
  <c r="Q93" i="37"/>
  <c r="Q73" i="37"/>
  <c r="Q92" i="37"/>
  <c r="Q72" i="37"/>
  <c r="M94" i="37"/>
  <c r="M84" i="37"/>
  <c r="M74" i="37"/>
  <c r="H84" i="37"/>
  <c r="Q91" i="37"/>
  <c r="Q71" i="37"/>
  <c r="G91" i="37"/>
  <c r="P91" i="37" s="1"/>
  <c r="G71" i="37"/>
  <c r="P71" i="37" s="1"/>
  <c r="Q90" i="37"/>
  <c r="Q70" i="37"/>
  <c r="H90" i="37"/>
  <c r="H70" i="37"/>
  <c r="Q89" i="37"/>
  <c r="Q69" i="37"/>
  <c r="P82" i="37"/>
  <c r="H74" i="37"/>
  <c r="Q114" i="37"/>
  <c r="K109" i="37"/>
  <c r="L109" i="37" s="1"/>
  <c r="G112" i="37"/>
  <c r="P112" i="37" s="1"/>
  <c r="Q113" i="37"/>
  <c r="K108" i="37"/>
  <c r="L108" i="37" s="1"/>
  <c r="G125" i="37"/>
  <c r="P125" i="37" s="1"/>
  <c r="Q112" i="37"/>
  <c r="K106" i="37"/>
  <c r="Q111" i="37"/>
  <c r="M125" i="37"/>
  <c r="G111" i="37"/>
  <c r="P111" i="37" s="1"/>
  <c r="Q110" i="37"/>
  <c r="G124" i="37"/>
  <c r="P124" i="37" s="1"/>
  <c r="K113" i="37"/>
  <c r="L113" i="37" s="1"/>
  <c r="K110" i="37"/>
  <c r="L110" i="37" s="1"/>
  <c r="M106" i="37"/>
  <c r="Q109" i="37"/>
  <c r="K124" i="37"/>
  <c r="L124" i="37" s="1"/>
  <c r="M114" i="37"/>
  <c r="H110" i="37"/>
  <c r="G106" i="37"/>
  <c r="G113" i="37"/>
  <c r="P113" i="37" s="1"/>
  <c r="Q108" i="37"/>
  <c r="H123" i="37"/>
  <c r="G114" i="37"/>
  <c r="P114" i="37" s="1"/>
  <c r="M109" i="37"/>
  <c r="K112" i="37"/>
  <c r="L112" i="37" s="1"/>
  <c r="N134" i="37"/>
  <c r="O134" i="37"/>
  <c r="K149" i="37"/>
  <c r="L149" i="37" s="1"/>
  <c r="K148" i="37"/>
  <c r="L148" i="37" s="1"/>
  <c r="K147" i="37"/>
  <c r="L147" i="37" s="1"/>
  <c r="H152" i="37"/>
  <c r="O138" i="37"/>
  <c r="Q149" i="37"/>
  <c r="M145" i="37"/>
  <c r="I145" i="37" s="1"/>
  <c r="J145" i="37" s="1"/>
  <c r="G148" i="37"/>
  <c r="P148" i="37" s="1"/>
  <c r="H141" i="37"/>
  <c r="M150" i="37"/>
  <c r="I150" i="37" s="1"/>
  <c r="J150" i="37" s="1"/>
  <c r="Q152" i="37"/>
  <c r="Q148" i="37"/>
  <c r="K153" i="37"/>
  <c r="L153" i="37" s="1"/>
  <c r="O137" i="37"/>
  <c r="G150" i="37"/>
  <c r="P150" i="37" s="1"/>
  <c r="Q147" i="37"/>
  <c r="H147" i="37"/>
  <c r="Q153" i="37"/>
  <c r="M147" i="37"/>
  <c r="I147" i="37" s="1"/>
  <c r="J147" i="37" s="1"/>
  <c r="G149" i="37"/>
  <c r="P149" i="37" s="1"/>
  <c r="Q151" i="37"/>
  <c r="M146" i="37"/>
  <c r="Q150" i="37"/>
  <c r="H140" i="37"/>
  <c r="M153" i="37"/>
  <c r="I153" i="37" s="1"/>
  <c r="J153" i="37" s="1"/>
  <c r="L182" i="37"/>
  <c r="G95" i="16" s="1"/>
  <c r="K95" i="16" s="1"/>
  <c r="Q182" i="37"/>
  <c r="G99" i="16" s="1"/>
  <c r="K99" i="16" s="1"/>
  <c r="O162" i="37"/>
  <c r="N162" i="37"/>
  <c r="K182" i="37"/>
  <c r="G94" i="16" s="1"/>
  <c r="K94" i="16" s="1"/>
  <c r="E182" i="37"/>
  <c r="G90" i="16" s="1"/>
  <c r="K90" i="16" s="1"/>
  <c r="L210" i="37"/>
  <c r="G105" i="16" s="1"/>
  <c r="K105" i="16" s="1"/>
  <c r="O191" i="37"/>
  <c r="K210" i="37"/>
  <c r="G104" i="16" s="1"/>
  <c r="K104" i="16" s="1"/>
  <c r="Q191" i="37"/>
  <c r="Q210" i="37" s="1"/>
  <c r="G109" i="16" s="1"/>
  <c r="K109" i="16" s="1"/>
  <c r="H19" i="39"/>
  <c r="J19" i="39"/>
  <c r="E21" i="46"/>
  <c r="K19" i="39"/>
  <c r="R18" i="39"/>
  <c r="P18" i="39"/>
  <c r="U18" i="39"/>
  <c r="X56" i="39"/>
  <c r="G64" i="37"/>
  <c r="P64" i="37" s="1"/>
  <c r="M64" i="37"/>
  <c r="K64" i="37"/>
  <c r="Q64" i="37"/>
  <c r="P19" i="39"/>
  <c r="G20" i="16"/>
  <c r="K20" i="16" s="1"/>
  <c r="G17" i="58"/>
  <c r="G25" i="58" s="1"/>
  <c r="E107" i="37"/>
  <c r="E126" i="37" s="1"/>
  <c r="I25" i="56"/>
  <c r="F36" i="56"/>
  <c r="H36" i="56" s="1"/>
  <c r="I46" i="56"/>
  <c r="I45" i="56" s="1"/>
  <c r="I21" i="56"/>
  <c r="X200" i="37"/>
  <c r="X203" i="37"/>
  <c r="X209" i="37"/>
  <c r="V82" i="37"/>
  <c r="V91" i="37"/>
  <c r="V75" i="37"/>
  <c r="V92" i="37"/>
  <c r="V90" i="37"/>
  <c r="S117" i="37"/>
  <c r="Z164" i="37"/>
  <c r="Z139" i="37"/>
  <c r="X176" i="37"/>
  <c r="V197" i="37"/>
  <c r="AT18" i="39"/>
  <c r="AL41" i="46"/>
  <c r="AI39" i="39"/>
  <c r="Z116" i="37"/>
  <c r="AB117" i="37"/>
  <c r="AS34" i="39"/>
  <c r="AA26" i="37"/>
  <c r="Z78" i="37"/>
  <c r="U52" i="37"/>
  <c r="W202" i="37"/>
  <c r="AC39" i="46"/>
  <c r="AI38" i="39"/>
  <c r="AC35" i="46"/>
  <c r="T21" i="37"/>
  <c r="S33" i="37"/>
  <c r="Z143" i="37"/>
  <c r="W207" i="37"/>
  <c r="W198" i="37"/>
  <c r="AI30" i="39"/>
  <c r="AI45" i="39"/>
  <c r="AC57" i="46"/>
  <c r="AA63" i="37"/>
  <c r="U26" i="37"/>
  <c r="X170" i="37"/>
  <c r="W190" i="37"/>
  <c r="AI24" i="39"/>
  <c r="AB115" i="37"/>
  <c r="AC37" i="46"/>
  <c r="Z63" i="37"/>
  <c r="AA80" i="37"/>
  <c r="W196" i="37"/>
  <c r="AC58" i="46"/>
  <c r="Z135" i="37"/>
  <c r="Z175" i="37"/>
  <c r="AT26" i="39"/>
  <c r="AG27" i="39"/>
  <c r="AC43" i="46"/>
  <c r="AH25" i="39"/>
  <c r="S135" i="37"/>
  <c r="T34" i="37"/>
  <c r="AA89" i="37"/>
  <c r="X173" i="37"/>
  <c r="AA125" i="37"/>
  <c r="Z144" i="37"/>
  <c r="X179" i="37"/>
  <c r="AB120" i="37"/>
  <c r="Z110" i="37"/>
  <c r="AP47" i="46"/>
  <c r="AM39" i="46"/>
  <c r="AT53" i="39"/>
  <c r="AI26" i="39"/>
  <c r="AQ29" i="39"/>
  <c r="AC20" i="46"/>
  <c r="AG23" i="39"/>
  <c r="AQ20" i="39"/>
  <c r="AC51" i="39"/>
  <c r="AC33" i="46"/>
  <c r="AB107" i="37"/>
  <c r="W22" i="37"/>
  <c r="S34" i="37"/>
  <c r="Z85" i="37"/>
  <c r="V43" i="37"/>
  <c r="U47" i="37"/>
  <c r="AL53" i="46"/>
  <c r="W200" i="37"/>
  <c r="W195" i="37"/>
  <c r="AI53" i="39"/>
  <c r="W206" i="37"/>
  <c r="T40" i="37"/>
  <c r="W204" i="37"/>
  <c r="Z172" i="37"/>
  <c r="AC56" i="46"/>
  <c r="S21" i="37"/>
  <c r="S40" i="37"/>
  <c r="Z145" i="37"/>
  <c r="AC47" i="46"/>
  <c r="T26" i="37"/>
  <c r="T48" i="37"/>
  <c r="Z149" i="37"/>
  <c r="AI35" i="39"/>
  <c r="Z22" i="37"/>
  <c r="AB47" i="37"/>
  <c r="X114" i="37"/>
  <c r="AB114" i="37"/>
  <c r="AP30" i="46"/>
  <c r="AI54" i="39"/>
  <c r="Z27" i="37"/>
  <c r="W177" i="37"/>
  <c r="X112" i="37"/>
  <c r="AJ55" i="46"/>
  <c r="AP45" i="46"/>
  <c r="AT55" i="39"/>
  <c r="AG36" i="39"/>
  <c r="AI36" i="39"/>
  <c r="U209" i="37"/>
  <c r="AC53" i="46"/>
  <c r="AG34" i="39"/>
  <c r="AQ28" i="39"/>
  <c r="S121" i="37"/>
  <c r="V22" i="37"/>
  <c r="Z74" i="37"/>
  <c r="S114" i="37"/>
  <c r="W194" i="37"/>
  <c r="AI43" i="39"/>
  <c r="V204" i="37"/>
  <c r="Z138" i="37"/>
  <c r="W193" i="37"/>
  <c r="AP28" i="46"/>
  <c r="Z180" i="37"/>
  <c r="AI19" i="39"/>
  <c r="Z178" i="37"/>
  <c r="W201" i="37"/>
  <c r="Z141" i="37"/>
  <c r="AA176" i="37"/>
  <c r="AB110" i="37"/>
  <c r="AG42" i="46"/>
  <c r="AG52" i="46"/>
  <c r="AP33" i="46"/>
  <c r="W197" i="37"/>
  <c r="U22" i="37"/>
  <c r="T28" i="37"/>
  <c r="U81" i="37"/>
  <c r="V199" i="37"/>
  <c r="U19" i="37"/>
  <c r="W205" i="37"/>
  <c r="S118" i="37"/>
  <c r="AT46" i="39"/>
  <c r="S119" i="37"/>
  <c r="V193" i="37"/>
  <c r="AJ46" i="46"/>
  <c r="S70" i="37"/>
  <c r="T35" i="37"/>
  <c r="V203" i="37"/>
  <c r="AB125" i="37"/>
  <c r="AA37" i="39"/>
  <c r="AI49" i="39"/>
  <c r="AI50" i="39"/>
  <c r="AJ43" i="46"/>
  <c r="AA66" i="37"/>
  <c r="W176" i="37"/>
  <c r="Z140" i="37"/>
  <c r="X168" i="37"/>
  <c r="AT51" i="39"/>
  <c r="Z20" i="37"/>
  <c r="Z146" i="37"/>
  <c r="AT50" i="39"/>
  <c r="AL46" i="46"/>
  <c r="S142" i="37"/>
  <c r="AL43" i="46"/>
  <c r="W203" i="37"/>
  <c r="AC32" i="39"/>
  <c r="AI33" i="39"/>
  <c r="S147" i="37"/>
  <c r="AB116" i="37"/>
  <c r="AA87" i="37"/>
  <c r="AA167" i="37"/>
  <c r="AA173" i="37"/>
  <c r="S151" i="37"/>
  <c r="AT35" i="39"/>
  <c r="AL49" i="46"/>
  <c r="AG46" i="46"/>
  <c r="AI22" i="39"/>
  <c r="AQ33" i="39"/>
  <c r="X111" i="37"/>
  <c r="AA19" i="39"/>
  <c r="W199" i="37"/>
  <c r="AJ30" i="39"/>
  <c r="AI37" i="39"/>
  <c r="S146" i="37"/>
  <c r="AB106" i="37"/>
  <c r="U20" i="37"/>
  <c r="S77" i="37"/>
  <c r="AB137" i="37"/>
  <c r="AM44" i="46"/>
  <c r="V192" i="37"/>
  <c r="S110" i="37"/>
  <c r="V198" i="37"/>
  <c r="Z162" i="37"/>
  <c r="X166" i="37"/>
  <c r="Z134" i="37"/>
  <c r="AI31" i="39"/>
  <c r="V207" i="37"/>
  <c r="X174" i="37"/>
  <c r="AI55" i="39"/>
  <c r="AT49" i="39"/>
  <c r="AI42" i="39"/>
  <c r="AA23" i="39"/>
  <c r="AA91" i="37"/>
  <c r="AJ54" i="46"/>
  <c r="AA50" i="39"/>
  <c r="W192" i="37"/>
  <c r="AS45" i="39"/>
  <c r="W209" i="37"/>
  <c r="AA42" i="39"/>
  <c r="T24" i="37"/>
  <c r="T37" i="37"/>
  <c r="Z173" i="37"/>
  <c r="Z171" i="37"/>
  <c r="AT24" i="39"/>
  <c r="AL44" i="46"/>
  <c r="AG45" i="46"/>
  <c r="AS37" i="39"/>
  <c r="AA49" i="39"/>
  <c r="W208" i="37"/>
  <c r="AC40" i="39"/>
  <c r="AJ26" i="39"/>
  <c r="AC23" i="39"/>
  <c r="T20" i="37"/>
  <c r="W115" i="37"/>
  <c r="W114" i="37"/>
  <c r="W120" i="37"/>
  <c r="W123" i="37"/>
  <c r="W122" i="37"/>
  <c r="W124" i="37"/>
  <c r="W109" i="37"/>
  <c r="W112" i="37"/>
  <c r="W110" i="37"/>
  <c r="W106" i="37"/>
  <c r="W108" i="37"/>
  <c r="W113" i="37"/>
  <c r="W116" i="37"/>
  <c r="W111" i="37"/>
  <c r="W118" i="37"/>
  <c r="W107" i="37"/>
  <c r="W121" i="37"/>
  <c r="W119" i="37"/>
  <c r="W117" i="37"/>
  <c r="W125" i="37"/>
  <c r="AB88" i="37"/>
  <c r="AB79" i="37"/>
  <c r="AB70" i="37"/>
  <c r="AB84" i="37"/>
  <c r="AB85" i="37"/>
  <c r="AB81" i="37"/>
  <c r="AB95" i="37"/>
  <c r="AB97" i="37"/>
  <c r="AB96" i="37"/>
  <c r="AB83" i="37"/>
  <c r="AB72" i="37"/>
  <c r="AB93" i="37"/>
  <c r="AB78" i="37"/>
  <c r="AB94" i="37"/>
  <c r="AB89" i="37"/>
  <c r="X143" i="37"/>
  <c r="X146" i="37"/>
  <c r="X147" i="37"/>
  <c r="X138" i="37"/>
  <c r="V140" i="37"/>
  <c r="V148" i="37"/>
  <c r="V150" i="37"/>
  <c r="V134" i="37"/>
  <c r="V145" i="37"/>
  <c r="V147" i="37"/>
  <c r="V146" i="37"/>
  <c r="AF24" i="46"/>
  <c r="S191" i="37"/>
  <c r="S201" i="37"/>
  <c r="S196" i="37"/>
  <c r="S190" i="37"/>
  <c r="S202" i="37"/>
  <c r="S193" i="37"/>
  <c r="S194" i="37"/>
  <c r="S197" i="37"/>
  <c r="AF52" i="46"/>
  <c r="AR26" i="46"/>
  <c r="AR57" i="46"/>
  <c r="AR29" i="46"/>
  <c r="AR40" i="46"/>
  <c r="AR23" i="46"/>
  <c r="AR30" i="46"/>
  <c r="AR27" i="46"/>
  <c r="AR22" i="46"/>
  <c r="AR56" i="46"/>
  <c r="AR36" i="46"/>
  <c r="AR59" i="46"/>
  <c r="AR28" i="46"/>
  <c r="AR20" i="46"/>
  <c r="U65" i="37"/>
  <c r="AB77" i="37"/>
  <c r="W145" i="37"/>
  <c r="AR47" i="46"/>
  <c r="AA109" i="37"/>
  <c r="AA122" i="37"/>
  <c r="AA123" i="37"/>
  <c r="AB87" i="37"/>
  <c r="W92" i="37"/>
  <c r="U97" i="37"/>
  <c r="AJ40" i="46"/>
  <c r="AJ59" i="46"/>
  <c r="AJ29" i="46"/>
  <c r="AJ21" i="46"/>
  <c r="AJ41" i="46"/>
  <c r="AJ28" i="46"/>
  <c r="AJ38" i="46"/>
  <c r="AJ50" i="46"/>
  <c r="AJ36" i="46"/>
  <c r="AJ37" i="46"/>
  <c r="AJ51" i="46"/>
  <c r="AJ57" i="46"/>
  <c r="AJ23" i="46"/>
  <c r="AJ58" i="46"/>
  <c r="AB86" i="37"/>
  <c r="S207" i="37"/>
  <c r="AF29" i="46"/>
  <c r="AT38" i="39"/>
  <c r="AC27" i="39"/>
  <c r="AJ46" i="39"/>
  <c r="AC25" i="39"/>
  <c r="AC46" i="39"/>
  <c r="AB50" i="37"/>
  <c r="AB48" i="37"/>
  <c r="AB54" i="37"/>
  <c r="AB45" i="37"/>
  <c r="AB25" i="37"/>
  <c r="AB34" i="37"/>
  <c r="AB39" i="37"/>
  <c r="AB40" i="37"/>
  <c r="AB41" i="37"/>
  <c r="AB28" i="37"/>
  <c r="AB46" i="37"/>
  <c r="AB27" i="37"/>
  <c r="AB49" i="37"/>
  <c r="AU37" i="39"/>
  <c r="AU27" i="39"/>
  <c r="AU43" i="39"/>
  <c r="AU42" i="39"/>
  <c r="AU33" i="39"/>
  <c r="AU25" i="39"/>
  <c r="AU51" i="39"/>
  <c r="AU32" i="39"/>
  <c r="AU41" i="39"/>
  <c r="AU44" i="39"/>
  <c r="AI47" i="46"/>
  <c r="AI49" i="46"/>
  <c r="S97" i="37"/>
  <c r="S199" i="37"/>
  <c r="AT19" i="39"/>
  <c r="AS27" i="39"/>
  <c r="AJ53" i="46"/>
  <c r="AC47" i="39"/>
  <c r="AJ19" i="39"/>
  <c r="AS20" i="39"/>
  <c r="AJ50" i="39"/>
  <c r="U168" i="37"/>
  <c r="U166" i="37"/>
  <c r="U163" i="37"/>
  <c r="X121" i="37"/>
  <c r="X124" i="37"/>
  <c r="X109" i="37"/>
  <c r="X118" i="37"/>
  <c r="AA42" i="37"/>
  <c r="AA47" i="37"/>
  <c r="AA54" i="37"/>
  <c r="AA32" i="37"/>
  <c r="AA34" i="37"/>
  <c r="AA43" i="37"/>
  <c r="AA41" i="37"/>
  <c r="AA31" i="37"/>
  <c r="AA28" i="37"/>
  <c r="AA45" i="37"/>
  <c r="AA39" i="37"/>
  <c r="AA25" i="37"/>
  <c r="AA40" i="37"/>
  <c r="AA37" i="37"/>
  <c r="AA27" i="37"/>
  <c r="AA49" i="37"/>
  <c r="AA33" i="37"/>
  <c r="AN27" i="46"/>
  <c r="AN46" i="46"/>
  <c r="AN54" i="46"/>
  <c r="AN21" i="46"/>
  <c r="AA203" i="37"/>
  <c r="AA198" i="37"/>
  <c r="AA199" i="37"/>
  <c r="AA205" i="37"/>
  <c r="AA201" i="37"/>
  <c r="AA206" i="37"/>
  <c r="AA202" i="37"/>
  <c r="U86" i="37"/>
  <c r="AA51" i="37"/>
  <c r="K100" i="16"/>
  <c r="S205" i="37"/>
  <c r="AF59" i="46"/>
  <c r="AS46" i="39"/>
  <c r="AS55" i="39"/>
  <c r="AM34" i="46"/>
  <c r="AJ27" i="46"/>
  <c r="AR50" i="46"/>
  <c r="AJ37" i="39"/>
  <c r="AS50" i="39"/>
  <c r="AQ40" i="39"/>
  <c r="AQ44" i="39"/>
  <c r="AQ30" i="39"/>
  <c r="AQ55" i="39"/>
  <c r="AQ47" i="39"/>
  <c r="AQ38" i="39"/>
  <c r="AQ39" i="39"/>
  <c r="AQ52" i="39"/>
  <c r="AQ27" i="39"/>
  <c r="AQ19" i="39"/>
  <c r="AQ43" i="39"/>
  <c r="AQ34" i="39"/>
  <c r="AQ25" i="39"/>
  <c r="AQ50" i="39"/>
  <c r="AQ22" i="39"/>
  <c r="AQ42" i="39"/>
  <c r="AQ37" i="39"/>
  <c r="AQ18" i="39"/>
  <c r="AQ31" i="39"/>
  <c r="AQ36" i="39"/>
  <c r="Z52" i="37"/>
  <c r="Z47" i="37"/>
  <c r="Z32" i="37"/>
  <c r="Z43" i="37"/>
  <c r="Z18" i="37"/>
  <c r="Z41" i="37"/>
  <c r="Z31" i="37"/>
  <c r="Z28" i="37"/>
  <c r="Z42" i="37"/>
  <c r="Z45" i="37"/>
  <c r="Z40" i="37"/>
  <c r="Z39" i="37"/>
  <c r="Z25" i="37"/>
  <c r="Z34" i="37"/>
  <c r="Z49" i="37"/>
  <c r="Z33" i="37"/>
  <c r="Z50" i="37"/>
  <c r="AB73" i="37"/>
  <c r="AB274" i="37"/>
  <c r="AC274" i="37" s="1"/>
  <c r="T85" i="37"/>
  <c r="S86" i="37"/>
  <c r="Z51" i="37"/>
  <c r="AP25" i="39"/>
  <c r="AP52" i="39"/>
  <c r="AP45" i="39"/>
  <c r="AP39" i="39"/>
  <c r="AP40" i="39"/>
  <c r="AP54" i="39"/>
  <c r="AP53" i="39"/>
  <c r="AP30" i="39"/>
  <c r="AP37" i="39"/>
  <c r="AP31" i="39"/>
  <c r="AP55" i="39"/>
  <c r="AP49" i="39"/>
  <c r="AP46" i="39"/>
  <c r="AP18" i="39"/>
  <c r="AP36" i="39"/>
  <c r="AP20" i="39"/>
  <c r="AP26" i="39"/>
  <c r="AP29" i="39"/>
  <c r="AP35" i="39"/>
  <c r="AP27" i="39"/>
  <c r="AP22" i="39"/>
  <c r="AP48" i="39"/>
  <c r="AP24" i="39"/>
  <c r="T176" i="37"/>
  <c r="T163" i="37"/>
  <c r="T179" i="37"/>
  <c r="AG53" i="46"/>
  <c r="AG38" i="46"/>
  <c r="AG54" i="46"/>
  <c r="AG55" i="46"/>
  <c r="AG50" i="46"/>
  <c r="AG37" i="46"/>
  <c r="AG44" i="46"/>
  <c r="AG31" i="46"/>
  <c r="AG41" i="46"/>
  <c r="AG21" i="46"/>
  <c r="AG58" i="46"/>
  <c r="AG29" i="46"/>
  <c r="AG26" i="46"/>
  <c r="AG48" i="46"/>
  <c r="Z197" i="37"/>
  <c r="Z195" i="37"/>
  <c r="W69" i="37"/>
  <c r="AB32" i="37"/>
  <c r="T82" i="37"/>
  <c r="AB38" i="37"/>
  <c r="AB292" i="37"/>
  <c r="AC292" i="37" s="1"/>
  <c r="K58" i="16"/>
  <c r="W135" i="37"/>
  <c r="W136" i="37"/>
  <c r="W142" i="37"/>
  <c r="W143" i="37"/>
  <c r="W138" i="37"/>
  <c r="W152" i="37"/>
  <c r="W140" i="37"/>
  <c r="W151" i="37"/>
  <c r="W146" i="37"/>
  <c r="AH20" i="39"/>
  <c r="AH55" i="39"/>
  <c r="AH41" i="39"/>
  <c r="AH29" i="39"/>
  <c r="AH51" i="39"/>
  <c r="AH30" i="39"/>
  <c r="AH27" i="39"/>
  <c r="AH42" i="39"/>
  <c r="AH19" i="39"/>
  <c r="AB216" i="37"/>
  <c r="AC216" i="37" s="1"/>
  <c r="W68" i="37"/>
  <c r="W74" i="37"/>
  <c r="W95" i="37"/>
  <c r="W88" i="37"/>
  <c r="W64" i="37"/>
  <c r="W149" i="37"/>
  <c r="AB71" i="37"/>
  <c r="AF37" i="46"/>
  <c r="AB289" i="37"/>
  <c r="AC289" i="37" s="1"/>
  <c r="W147" i="37"/>
  <c r="AR24" i="46"/>
  <c r="U91" i="37"/>
  <c r="U95" i="37"/>
  <c r="U83" i="37"/>
  <c r="U74" i="37"/>
  <c r="U72" i="37"/>
  <c r="U94" i="37"/>
  <c r="U84" i="37"/>
  <c r="U93" i="37"/>
  <c r="U69" i="37"/>
  <c r="U67" i="37"/>
  <c r="U63" i="37"/>
  <c r="U92" i="37"/>
  <c r="U75" i="37"/>
  <c r="U90" i="37"/>
  <c r="U66" i="37"/>
  <c r="U88" i="37"/>
  <c r="U64" i="37"/>
  <c r="W141" i="37"/>
  <c r="AJ28" i="39"/>
  <c r="AJ27" i="39"/>
  <c r="AJ44" i="39"/>
  <c r="AF36" i="46"/>
  <c r="S96" i="37"/>
  <c r="S65" i="37"/>
  <c r="S76" i="37"/>
  <c r="S82" i="37"/>
  <c r="S74" i="37"/>
  <c r="S88" i="37"/>
  <c r="S75" i="37"/>
  <c r="AF31" i="46"/>
  <c r="AS52" i="39"/>
  <c r="AU52" i="39"/>
  <c r="AJ20" i="46"/>
  <c r="AF20" i="46"/>
  <c r="AF34" i="46"/>
  <c r="AP41" i="39"/>
  <c r="AP51" i="39"/>
  <c r="AA52" i="39"/>
  <c r="AF51" i="46"/>
  <c r="AJ24" i="46"/>
  <c r="AU47" i="39"/>
  <c r="AA28" i="39"/>
  <c r="AC49" i="39"/>
  <c r="AS24" i="39"/>
  <c r="V109" i="37"/>
  <c r="V113" i="37"/>
  <c r="V122" i="37"/>
  <c r="V110" i="37"/>
  <c r="X47" i="37"/>
  <c r="X43" i="37"/>
  <c r="X18" i="37"/>
  <c r="AB214" i="37"/>
  <c r="AC214" i="37" s="1"/>
  <c r="S69" i="37"/>
  <c r="AA38" i="37"/>
  <c r="AA50" i="37"/>
  <c r="W150" i="37"/>
  <c r="X113" i="37"/>
  <c r="S192" i="37"/>
  <c r="AF54" i="46"/>
  <c r="AA207" i="37"/>
  <c r="AP33" i="39"/>
  <c r="AQ35" i="39"/>
  <c r="AQ23" i="39"/>
  <c r="AJ25" i="46"/>
  <c r="AC52" i="39"/>
  <c r="AS28" i="39"/>
  <c r="AC30" i="39"/>
  <c r="S168" i="37"/>
  <c r="S175" i="37"/>
  <c r="S163" i="37"/>
  <c r="S171" i="37"/>
  <c r="S181" i="37"/>
  <c r="S172" i="37"/>
  <c r="AB63" i="37"/>
  <c r="AB74" i="37"/>
  <c r="U79" i="37"/>
  <c r="Z38" i="37"/>
  <c r="AB281" i="37"/>
  <c r="AC281" i="37" s="1"/>
  <c r="AC36" i="39"/>
  <c r="AS30" i="39"/>
  <c r="AM51" i="46"/>
  <c r="AM36" i="46"/>
  <c r="AM24" i="46"/>
  <c r="AM25" i="46"/>
  <c r="AM47" i="46"/>
  <c r="AB144" i="37"/>
  <c r="AB134" i="37"/>
  <c r="AB149" i="37"/>
  <c r="AB150" i="37"/>
  <c r="AB136" i="37"/>
  <c r="AB138" i="37"/>
  <c r="AB278" i="37"/>
  <c r="AC278" i="37" s="1"/>
  <c r="X97" i="37"/>
  <c r="X95" i="37"/>
  <c r="X64" i="37"/>
  <c r="AB192" i="37"/>
  <c r="AB204" i="37"/>
  <c r="AB191" i="37"/>
  <c r="AB205" i="37"/>
  <c r="AB207" i="37"/>
  <c r="AB196" i="37"/>
  <c r="AB199" i="37"/>
  <c r="AB197" i="37"/>
  <c r="V139" i="37"/>
  <c r="U152" i="37"/>
  <c r="U143" i="37"/>
  <c r="X88" i="37"/>
  <c r="AB165" i="37"/>
  <c r="AB179" i="37"/>
  <c r="AB170" i="37"/>
  <c r="AB195" i="37"/>
  <c r="W137" i="37"/>
  <c r="AC29" i="39"/>
  <c r="AJ42" i="39"/>
  <c r="AJ48" i="39"/>
  <c r="AC38" i="39"/>
  <c r="AC35" i="39"/>
  <c r="AJ39" i="39"/>
  <c r="AJ43" i="39"/>
  <c r="AC34" i="39"/>
  <c r="AJ36" i="39"/>
  <c r="AC54" i="39"/>
  <c r="AC24" i="39"/>
  <c r="AJ22" i="39"/>
  <c r="AJ40" i="39"/>
  <c r="AC42" i="39"/>
  <c r="AC50" i="39"/>
  <c r="AC41" i="39"/>
  <c r="AC48" i="39"/>
  <c r="AC37" i="39"/>
  <c r="AJ32" i="39"/>
  <c r="AJ52" i="39"/>
  <c r="AJ24" i="39"/>
  <c r="AJ51" i="39"/>
  <c r="AC43" i="39"/>
  <c r="AJ54" i="39"/>
  <c r="AC44" i="39"/>
  <c r="AJ55" i="39"/>
  <c r="AC18" i="39"/>
  <c r="AJ21" i="39"/>
  <c r="AC21" i="39"/>
  <c r="AJ18" i="39"/>
  <c r="AC26" i="39"/>
  <c r="W148" i="37"/>
  <c r="S203" i="37"/>
  <c r="W153" i="37"/>
  <c r="AR43" i="46"/>
  <c r="AJ33" i="39"/>
  <c r="AJ49" i="39"/>
  <c r="AS22" i="39"/>
  <c r="AC45" i="39"/>
  <c r="AA31" i="39"/>
  <c r="AA30" i="39"/>
  <c r="AA54" i="39"/>
  <c r="AA39" i="39"/>
  <c r="AA40" i="39"/>
  <c r="AA47" i="39"/>
  <c r="AA25" i="39"/>
  <c r="AA41" i="39"/>
  <c r="AA35" i="39"/>
  <c r="AA38" i="39"/>
  <c r="AA36" i="39"/>
  <c r="AA20" i="39"/>
  <c r="AA55" i="39"/>
  <c r="AA33" i="39"/>
  <c r="AA26" i="39"/>
  <c r="AA24" i="39"/>
  <c r="AA29" i="39"/>
  <c r="AA22" i="39"/>
  <c r="AA34" i="39"/>
  <c r="AA32" i="39"/>
  <c r="AH34" i="39"/>
  <c r="AA27" i="39"/>
  <c r="AS49" i="39"/>
  <c r="AT30" i="39"/>
  <c r="X139" i="37"/>
  <c r="AP38" i="39"/>
  <c r="AU29" i="39"/>
  <c r="AR31" i="46"/>
  <c r="AA43" i="39"/>
  <c r="AA117" i="37"/>
  <c r="V142" i="37"/>
  <c r="V149" i="37"/>
  <c r="AM38" i="46"/>
  <c r="T175" i="37"/>
  <c r="AC20" i="39"/>
  <c r="X74" i="37"/>
  <c r="U208" i="37"/>
  <c r="U202" i="37"/>
  <c r="U200" i="37"/>
  <c r="U196" i="37"/>
  <c r="U204" i="37"/>
  <c r="U195" i="37"/>
  <c r="U193" i="37"/>
  <c r="U192" i="37"/>
  <c r="U198" i="37"/>
  <c r="AF44" i="46"/>
  <c r="AF39" i="46"/>
  <c r="AF50" i="46"/>
  <c r="AF48" i="46"/>
  <c r="AF45" i="46"/>
  <c r="AF38" i="46"/>
  <c r="AF46" i="46"/>
  <c r="AF49" i="46"/>
  <c r="AF53" i="46"/>
  <c r="AF47" i="46"/>
  <c r="AF40" i="46"/>
  <c r="AF42" i="46"/>
  <c r="AF56" i="46"/>
  <c r="AF30" i="46"/>
  <c r="AF25" i="46"/>
  <c r="AF33" i="46"/>
  <c r="AF21" i="46"/>
  <c r="AF43" i="46"/>
  <c r="AF57" i="46"/>
  <c r="AB291" i="37"/>
  <c r="AC291" i="37" s="1"/>
  <c r="AB280" i="37"/>
  <c r="AC280" i="37" s="1"/>
  <c r="AB279" i="37"/>
  <c r="AC279" i="37" s="1"/>
  <c r="AB272" i="37"/>
  <c r="AC272" i="37" s="1"/>
  <c r="AB268" i="37"/>
  <c r="AC268" i="37" s="1"/>
  <c r="AB295" i="37"/>
  <c r="AC295" i="37" s="1"/>
  <c r="AB290" i="37"/>
  <c r="AC290" i="37" s="1"/>
  <c r="AB265" i="37"/>
  <c r="AC265" i="37" s="1"/>
  <c r="AB287" i="37"/>
  <c r="AC287" i="37" s="1"/>
  <c r="AB286" i="37"/>
  <c r="AC286" i="37" s="1"/>
  <c r="AB267" i="37"/>
  <c r="AC267" i="37" s="1"/>
  <c r="AB276" i="37"/>
  <c r="AC276" i="37" s="1"/>
  <c r="AB283" i="37"/>
  <c r="AC283" i="37" s="1"/>
  <c r="AB285" i="37"/>
  <c r="AC285" i="37" s="1"/>
  <c r="AB273" i="37"/>
  <c r="AC273" i="37" s="1"/>
  <c r="AB288" i="37"/>
  <c r="AC288" i="37" s="1"/>
  <c r="AB266" i="37"/>
  <c r="AC266" i="37" s="1"/>
  <c r="AB217" i="37"/>
  <c r="AC217" i="37" s="1"/>
  <c r="AB275" i="37"/>
  <c r="AC275" i="37" s="1"/>
  <c r="AB269" i="37"/>
  <c r="AC269" i="37" s="1"/>
  <c r="AB215" i="37"/>
  <c r="AF28" i="46"/>
  <c r="W144" i="37"/>
  <c r="AF35" i="46"/>
  <c r="AB203" i="37"/>
  <c r="U197" i="37"/>
  <c r="AJ45" i="39"/>
  <c r="AJ29" i="39"/>
  <c r="T74" i="37"/>
  <c r="T84" i="37"/>
  <c r="T75" i="37"/>
  <c r="T63" i="37"/>
  <c r="T95" i="37"/>
  <c r="AS21" i="39"/>
  <c r="AS23" i="39"/>
  <c r="AS44" i="39"/>
  <c r="AS53" i="39"/>
  <c r="AS38" i="39"/>
  <c r="AS42" i="39"/>
  <c r="AS35" i="39"/>
  <c r="AS48" i="39"/>
  <c r="AS25" i="39"/>
  <c r="AS47" i="39"/>
  <c r="AS33" i="39"/>
  <c r="AS36" i="39"/>
  <c r="AS51" i="39"/>
  <c r="AS32" i="39"/>
  <c r="AS26" i="39"/>
  <c r="AS39" i="39"/>
  <c r="AS19" i="39"/>
  <c r="AS40" i="39"/>
  <c r="AS18" i="39"/>
  <c r="AS41" i="39"/>
  <c r="AS31" i="39"/>
  <c r="AB261" i="37"/>
  <c r="AC261" i="37" s="1"/>
  <c r="AB173" i="37"/>
  <c r="AJ31" i="39"/>
  <c r="Z117" i="37"/>
  <c r="Z119" i="37"/>
  <c r="AT22" i="39"/>
  <c r="AT34" i="39"/>
  <c r="AT40" i="39"/>
  <c r="AT23" i="39"/>
  <c r="AT31" i="39"/>
  <c r="AT28" i="39"/>
  <c r="AT32" i="39"/>
  <c r="AT54" i="39"/>
  <c r="AT39" i="39"/>
  <c r="AT36" i="39"/>
  <c r="AT27" i="39"/>
  <c r="AT41" i="39"/>
  <c r="AT52" i="39"/>
  <c r="AT45" i="39"/>
  <c r="AT33" i="39"/>
  <c r="AT25" i="39"/>
  <c r="AT44" i="39"/>
  <c r="AT37" i="39"/>
  <c r="AT21" i="39"/>
  <c r="AT20" i="39"/>
  <c r="AB91" i="37"/>
  <c r="S200" i="37"/>
  <c r="AA51" i="39"/>
  <c r="AJ22" i="46"/>
  <c r="AJ35" i="39"/>
  <c r="W134" i="37"/>
  <c r="AO49" i="39"/>
  <c r="AO44" i="39"/>
  <c r="AO47" i="39"/>
  <c r="AO19" i="39"/>
  <c r="AO22" i="39"/>
  <c r="AO31" i="39"/>
  <c r="AO25" i="39"/>
  <c r="X108" i="37"/>
  <c r="AJ32" i="46"/>
  <c r="AR53" i="46"/>
  <c r="AA197" i="37"/>
  <c r="T167" i="37"/>
  <c r="AU28" i="39"/>
  <c r="AJ34" i="39"/>
  <c r="AJ31" i="46"/>
  <c r="U165" i="37"/>
  <c r="T162" i="37"/>
  <c r="AR45" i="46"/>
  <c r="AF22" i="46"/>
  <c r="AP21" i="39"/>
  <c r="V144" i="37"/>
  <c r="AA44" i="39"/>
  <c r="AU38" i="39"/>
  <c r="AR35" i="46"/>
  <c r="AA21" i="39"/>
  <c r="AC28" i="39"/>
  <c r="AJ47" i="39"/>
  <c r="AJ47" i="46"/>
  <c r="AJ30" i="46"/>
  <c r="AL45" i="46"/>
  <c r="AL56" i="46"/>
  <c r="AL59" i="46"/>
  <c r="AL21" i="46"/>
  <c r="AL50" i="46"/>
  <c r="AL52" i="46"/>
  <c r="AL48" i="46"/>
  <c r="AL35" i="46"/>
  <c r="AB181" i="37"/>
  <c r="AR34" i="46"/>
  <c r="AF27" i="46"/>
  <c r="AM31" i="46"/>
  <c r="AP44" i="39"/>
  <c r="V152" i="37"/>
  <c r="AA45" i="39"/>
  <c r="AS54" i="39"/>
  <c r="AU31" i="39"/>
  <c r="U199" i="37"/>
  <c r="T180" i="37"/>
  <c r="AS43" i="39"/>
  <c r="AC31" i="39"/>
  <c r="AJ42" i="46"/>
  <c r="AJ23" i="39"/>
  <c r="V191" i="37"/>
  <c r="V194" i="37"/>
  <c r="V196" i="37"/>
  <c r="V202" i="37"/>
  <c r="V195" i="37"/>
  <c r="V205" i="37"/>
  <c r="V209" i="37"/>
  <c r="V201" i="37"/>
  <c r="V200" i="37"/>
  <c r="V208" i="37"/>
  <c r="AB135" i="37"/>
  <c r="S67" i="37"/>
  <c r="U70" i="37"/>
  <c r="AB80" i="37"/>
  <c r="AP24" i="46"/>
  <c r="AC22" i="46"/>
  <c r="AC55" i="46"/>
  <c r="AC49" i="46"/>
  <c r="AC25" i="46"/>
  <c r="AC42" i="46"/>
  <c r="W17" i="37"/>
  <c r="W47" i="37"/>
  <c r="AE42" i="46"/>
  <c r="AE32" i="46"/>
  <c r="AE34" i="46"/>
  <c r="AE38" i="46"/>
  <c r="AE52" i="46"/>
  <c r="AE39" i="46"/>
  <c r="W29" i="37"/>
  <c r="AP57" i="46"/>
  <c r="AE36" i="46"/>
  <c r="S138" i="37"/>
  <c r="AE35" i="46"/>
  <c r="Z153" i="37"/>
  <c r="Z137" i="37"/>
  <c r="V30" i="37"/>
  <c r="V46" i="37"/>
  <c r="V27" i="37"/>
  <c r="AD58" i="46"/>
  <c r="AD36" i="46"/>
  <c r="V29" i="37"/>
  <c r="AC34" i="46"/>
  <c r="S125" i="37"/>
  <c r="S122" i="37"/>
  <c r="S116" i="37"/>
  <c r="U43" i="37"/>
  <c r="U54" i="37"/>
  <c r="U29" i="37"/>
  <c r="U46" i="37"/>
  <c r="U42" i="37"/>
  <c r="AG50" i="39"/>
  <c r="AG35" i="39"/>
  <c r="AG40" i="39"/>
  <c r="Z170" i="37"/>
  <c r="Z169" i="37"/>
  <c r="Z176" i="37"/>
  <c r="Z165" i="37"/>
  <c r="Z168" i="37"/>
  <c r="AE29" i="46"/>
  <c r="AC27" i="46"/>
  <c r="AC30" i="46"/>
  <c r="AG21" i="39"/>
  <c r="AC40" i="46"/>
  <c r="X177" i="37"/>
  <c r="X181" i="37"/>
  <c r="X163" i="37"/>
  <c r="X175" i="37"/>
  <c r="AB123" i="37"/>
  <c r="AB122" i="37"/>
  <c r="AB113" i="37"/>
  <c r="AB119" i="37"/>
  <c r="AB124" i="37"/>
  <c r="AB118" i="37"/>
  <c r="AB41" i="39"/>
  <c r="AB52" i="39"/>
  <c r="AB33" i="39"/>
  <c r="AB39" i="39"/>
  <c r="AB27" i="39"/>
  <c r="AB31" i="39"/>
  <c r="AB20" i="39"/>
  <c r="AQ58" i="46"/>
  <c r="AQ34" i="46"/>
  <c r="AQ56" i="46"/>
  <c r="AQ23" i="46"/>
  <c r="V17" i="37"/>
  <c r="U34" i="37"/>
  <c r="AA178" i="37"/>
  <c r="AA163" i="37"/>
  <c r="AA181" i="37"/>
  <c r="AA168" i="37"/>
  <c r="AA179" i="37"/>
  <c r="AA162" i="37"/>
  <c r="AP39" i="46"/>
  <c r="AP25" i="46"/>
  <c r="AP48" i="46"/>
  <c r="AG28" i="39"/>
  <c r="AC54" i="46"/>
  <c r="V79" i="37"/>
  <c r="V97" i="37"/>
  <c r="V74" i="37"/>
  <c r="V69" i="37"/>
  <c r="V63" i="37"/>
  <c r="AE46" i="46"/>
  <c r="AE56" i="46"/>
  <c r="AC41" i="46"/>
  <c r="AG52" i="39"/>
  <c r="AC45" i="46"/>
  <c r="W175" i="37"/>
  <c r="W167" i="37"/>
  <c r="W162" i="37"/>
  <c r="AD52" i="39"/>
  <c r="AD31" i="39"/>
  <c r="AD40" i="39"/>
  <c r="AD47" i="39"/>
  <c r="AD38" i="39"/>
  <c r="AD48" i="39"/>
  <c r="AD27" i="39"/>
  <c r="AD34" i="39"/>
  <c r="W25" i="37"/>
  <c r="W45" i="37"/>
  <c r="T145" i="37"/>
  <c r="T150" i="37"/>
  <c r="T139" i="37"/>
  <c r="AA165" i="37"/>
  <c r="AC29" i="46"/>
  <c r="S145" i="37"/>
  <c r="S153" i="37"/>
  <c r="S141" i="37"/>
  <c r="Z177" i="37"/>
  <c r="AA175" i="37"/>
  <c r="S140" i="37"/>
  <c r="AE47" i="46"/>
  <c r="AC26" i="46"/>
  <c r="AG46" i="39"/>
  <c r="AC48" i="46"/>
  <c r="AR53" i="39"/>
  <c r="AR21" i="39"/>
  <c r="AR18" i="39"/>
  <c r="AR54" i="39"/>
  <c r="AR46" i="39"/>
  <c r="AR51" i="39"/>
  <c r="AR27" i="39"/>
  <c r="W42" i="37"/>
  <c r="W43" i="37"/>
  <c r="AA78" i="37"/>
  <c r="T42" i="37"/>
  <c r="AA96" i="37"/>
  <c r="AA81" i="37"/>
  <c r="AA85" i="37"/>
  <c r="T54" i="37"/>
  <c r="V164" i="37"/>
  <c r="V181" i="37"/>
  <c r="V173" i="37"/>
  <c r="V166" i="37"/>
  <c r="V171" i="37"/>
  <c r="V174" i="37"/>
  <c r="V167" i="37"/>
  <c r="V172" i="37"/>
  <c r="V175" i="37"/>
  <c r="V165" i="37"/>
  <c r="V170" i="37"/>
  <c r="V179" i="37"/>
  <c r="V168" i="37"/>
  <c r="V163" i="37"/>
  <c r="V162" i="37"/>
  <c r="V169" i="37"/>
  <c r="V177" i="37"/>
  <c r="V178" i="37"/>
  <c r="V176" i="37"/>
  <c r="V180" i="37"/>
  <c r="T191" i="37"/>
  <c r="T195" i="37"/>
  <c r="T209" i="37"/>
  <c r="T208" i="37"/>
  <c r="T202" i="37"/>
  <c r="T197" i="37"/>
  <c r="T198" i="37"/>
  <c r="T194" i="37"/>
  <c r="T193" i="37"/>
  <c r="T200" i="37"/>
  <c r="T203" i="37"/>
  <c r="T206" i="37"/>
  <c r="T207" i="37"/>
  <c r="T190" i="37"/>
  <c r="T192" i="37"/>
  <c r="T205" i="37"/>
  <c r="T201" i="37"/>
  <c r="T199" i="37"/>
  <c r="T196" i="37"/>
  <c r="T204" i="37"/>
  <c r="AH336" i="37"/>
  <c r="AI336" i="37" s="1"/>
  <c r="AH324" i="37"/>
  <c r="AI324" i="37" s="1"/>
  <c r="AH345" i="37"/>
  <c r="AI345" i="37" s="1"/>
  <c r="K119" i="16"/>
  <c r="AH338" i="37"/>
  <c r="AI338" i="37" s="1"/>
  <c r="AH318" i="37"/>
  <c r="AI318" i="37" s="1"/>
  <c r="AH329" i="37"/>
  <c r="AI329" i="37" s="1"/>
  <c r="AH325" i="37"/>
  <c r="AI325" i="37" s="1"/>
  <c r="AH340" i="37"/>
  <c r="AI340" i="37" s="1"/>
  <c r="AH327" i="37"/>
  <c r="AI327" i="37" s="1"/>
  <c r="AH322" i="37"/>
  <c r="AI322" i="37" s="1"/>
  <c r="AH341" i="37"/>
  <c r="AI341" i="37" s="1"/>
  <c r="AH334" i="37"/>
  <c r="AI334" i="37" s="1"/>
  <c r="AH328" i="37"/>
  <c r="AI328" i="37" s="1"/>
  <c r="AH335" i="37"/>
  <c r="AI335" i="37" s="1"/>
  <c r="AH314" i="37"/>
  <c r="AI314" i="37" s="1"/>
  <c r="AH308" i="37"/>
  <c r="AI308" i="37" s="1"/>
  <c r="AH337" i="37"/>
  <c r="AI337" i="37" s="1"/>
  <c r="AH320" i="37"/>
  <c r="AI320" i="37" s="1"/>
  <c r="AH343" i="37"/>
  <c r="AI343" i="37" s="1"/>
  <c r="AH319" i="37"/>
  <c r="AI319" i="37" s="1"/>
  <c r="AH317" i="37"/>
  <c r="AI317" i="37" s="1"/>
  <c r="AH332" i="37"/>
  <c r="AI332" i="37" s="1"/>
  <c r="AH321" i="37"/>
  <c r="AI321" i="37" s="1"/>
  <c r="AH330" i="37"/>
  <c r="AI330" i="37" s="1"/>
  <c r="AH313" i="37"/>
  <c r="AI313" i="37" s="1"/>
  <c r="AH312" i="37"/>
  <c r="AI312" i="37" s="1"/>
  <c r="AH311" i="37"/>
  <c r="AI311" i="37" s="1"/>
  <c r="AH323" i="37"/>
  <c r="AI323" i="37" s="1"/>
  <c r="AH315" i="37"/>
  <c r="AI315" i="37" s="1"/>
  <c r="AH342" i="37"/>
  <c r="AI342" i="37" s="1"/>
  <c r="AH339" i="37"/>
  <c r="AI339" i="37" s="1"/>
  <c r="AH316" i="37"/>
  <c r="AI316" i="37" s="1"/>
  <c r="AH331" i="37"/>
  <c r="AI331" i="37" s="1"/>
  <c r="AH344" i="37"/>
  <c r="AI344" i="37" s="1"/>
  <c r="AH310" i="37"/>
  <c r="AI310" i="37" s="1"/>
  <c r="AH326" i="37"/>
  <c r="AI326" i="37" s="1"/>
  <c r="AH333" i="37"/>
  <c r="AI333" i="37" s="1"/>
  <c r="AH309" i="37"/>
  <c r="AI309" i="37" s="1"/>
  <c r="AI57" i="46"/>
  <c r="AN39" i="46"/>
  <c r="U124" i="37"/>
  <c r="U114" i="37"/>
  <c r="U109" i="37"/>
  <c r="U106" i="37"/>
  <c r="U120" i="37"/>
  <c r="U107" i="37"/>
  <c r="U112" i="37"/>
  <c r="U117" i="37"/>
  <c r="U119" i="37"/>
  <c r="U115" i="37"/>
  <c r="X53" i="37"/>
  <c r="X23" i="37"/>
  <c r="X19" i="37"/>
  <c r="X46" i="37"/>
  <c r="X30" i="37"/>
  <c r="X54" i="37"/>
  <c r="X37" i="37"/>
  <c r="X48" i="37"/>
  <c r="X24" i="37"/>
  <c r="X39" i="37"/>
  <c r="X31" i="37"/>
  <c r="X36" i="37"/>
  <c r="X52" i="37"/>
  <c r="X20" i="37"/>
  <c r="X32" i="37"/>
  <c r="X34" i="37"/>
  <c r="X33" i="37"/>
  <c r="X50" i="37"/>
  <c r="X38" i="37"/>
  <c r="X42" i="37"/>
  <c r="X28" i="37"/>
  <c r="X27" i="37"/>
  <c r="X35" i="37"/>
  <c r="X45" i="37"/>
  <c r="X41" i="37"/>
  <c r="X17" i="37"/>
  <c r="X26" i="37"/>
  <c r="AI20" i="46"/>
  <c r="AI43" i="46"/>
  <c r="AN22" i="46"/>
  <c r="AB163" i="37"/>
  <c r="AB169" i="37"/>
  <c r="AB168" i="37"/>
  <c r="AB171" i="37"/>
  <c r="AB176" i="37"/>
  <c r="AB167" i="37"/>
  <c r="AB178" i="37"/>
  <c r="AB164" i="37"/>
  <c r="U122" i="37"/>
  <c r="AH54" i="46"/>
  <c r="AI38" i="46"/>
  <c r="AB172" i="37"/>
  <c r="AH50" i="46"/>
  <c r="U108" i="37"/>
  <c r="AN49" i="46"/>
  <c r="Z90" i="37"/>
  <c r="Z82" i="37"/>
  <c r="Z69" i="37"/>
  <c r="Z65" i="37"/>
  <c r="Z92" i="37"/>
  <c r="Z76" i="37"/>
  <c r="Z83" i="37"/>
  <c r="Z94" i="37"/>
  <c r="Z70" i="37"/>
  <c r="Z71" i="37"/>
  <c r="Z77" i="37"/>
  <c r="Z68" i="37"/>
  <c r="Z81" i="37"/>
  <c r="Z84" i="37"/>
  <c r="Z72" i="37"/>
  <c r="Z93" i="37"/>
  <c r="Z64" i="37"/>
  <c r="Z97" i="37"/>
  <c r="Z95" i="37"/>
  <c r="Z66" i="37"/>
  <c r="Z96" i="37"/>
  <c r="Z88" i="37"/>
  <c r="Z86" i="37"/>
  <c r="S50" i="37"/>
  <c r="S41" i="37"/>
  <c r="S25" i="37"/>
  <c r="S32" i="37"/>
  <c r="S43" i="37"/>
  <c r="S26" i="37"/>
  <c r="S19" i="37"/>
  <c r="S35" i="37"/>
  <c r="S45" i="37"/>
  <c r="S27" i="37"/>
  <c r="S53" i="37"/>
  <c r="S51" i="37"/>
  <c r="S38" i="37"/>
  <c r="S23" i="37"/>
  <c r="S17" i="37"/>
  <c r="S36" i="37"/>
  <c r="S30" i="37"/>
  <c r="S46" i="37"/>
  <c r="S31" i="37"/>
  <c r="S29" i="37"/>
  <c r="S28" i="37"/>
  <c r="S47" i="37"/>
  <c r="S44" i="37"/>
  <c r="S49" i="37"/>
  <c r="S39" i="37"/>
  <c r="S18" i="37"/>
  <c r="X51" i="37"/>
  <c r="AE294" i="37"/>
  <c r="AF294" i="37" s="1"/>
  <c r="AB344" i="37"/>
  <c r="AC344" i="37" s="1"/>
  <c r="AB345" i="37"/>
  <c r="AC345" i="37" s="1"/>
  <c r="AE216" i="37"/>
  <c r="AF216" i="37" s="1"/>
  <c r="U125" i="37"/>
  <c r="AH48" i="46"/>
  <c r="X92" i="37"/>
  <c r="X76" i="37"/>
  <c r="X83" i="37"/>
  <c r="X94" i="37"/>
  <c r="X70" i="37"/>
  <c r="X85" i="37"/>
  <c r="X77" i="37"/>
  <c r="X96" i="37"/>
  <c r="X65" i="37"/>
  <c r="X81" i="37"/>
  <c r="X63" i="37"/>
  <c r="X82" i="37"/>
  <c r="X72" i="37"/>
  <c r="X93" i="37"/>
  <c r="X87" i="37"/>
  <c r="X71" i="37"/>
  <c r="X67" i="37"/>
  <c r="X66" i="37"/>
  <c r="X78" i="37"/>
  <c r="X90" i="37"/>
  <c r="X79" i="37"/>
  <c r="X69" i="37"/>
  <c r="X80" i="37"/>
  <c r="X25" i="37"/>
  <c r="Z73" i="37"/>
  <c r="X29" i="37"/>
  <c r="V95" i="37"/>
  <c r="AB174" i="37"/>
  <c r="AH56" i="46"/>
  <c r="U164" i="37"/>
  <c r="AN38" i="46"/>
  <c r="X207" i="37"/>
  <c r="AA148" i="37"/>
  <c r="U135" i="37"/>
  <c r="U139" i="37"/>
  <c r="U153" i="37"/>
  <c r="U144" i="37"/>
  <c r="U147" i="37"/>
  <c r="U148" i="37"/>
  <c r="U145" i="37"/>
  <c r="U150" i="37"/>
  <c r="U149" i="37"/>
  <c r="U140" i="37"/>
  <c r="U146" i="37"/>
  <c r="U142" i="37"/>
  <c r="S20" i="37"/>
  <c r="Z80" i="37"/>
  <c r="AH277" i="37"/>
  <c r="AI277" i="37" s="1"/>
  <c r="Z199" i="37"/>
  <c r="AI55" i="46"/>
  <c r="AI21" i="46"/>
  <c r="X202" i="37"/>
  <c r="AH52" i="46"/>
  <c r="U172" i="37"/>
  <c r="AO29" i="39"/>
  <c r="AM30" i="46"/>
  <c r="X195" i="37"/>
  <c r="AH21" i="46"/>
  <c r="AA144" i="37"/>
  <c r="AA139" i="37"/>
  <c r="W171" i="37"/>
  <c r="W170" i="37"/>
  <c r="W179" i="37"/>
  <c r="W165" i="37"/>
  <c r="W169" i="37"/>
  <c r="W178" i="37"/>
  <c r="T153" i="37"/>
  <c r="T135" i="37"/>
  <c r="T134" i="37"/>
  <c r="T147" i="37"/>
  <c r="T151" i="37"/>
  <c r="T138" i="37"/>
  <c r="T142" i="37"/>
  <c r="T136" i="37"/>
  <c r="T137" i="37"/>
  <c r="T148" i="37"/>
  <c r="W83" i="37"/>
  <c r="W94" i="37"/>
  <c r="W70" i="37"/>
  <c r="W85" i="37"/>
  <c r="W77" i="37"/>
  <c r="W96" i="37"/>
  <c r="W87" i="37"/>
  <c r="W71" i="37"/>
  <c r="W81" i="37"/>
  <c r="W63" i="37"/>
  <c r="W76" i="37"/>
  <c r="W72" i="37"/>
  <c r="W93" i="37"/>
  <c r="W65" i="37"/>
  <c r="W86" i="37"/>
  <c r="W97" i="37"/>
  <c r="W89" i="37"/>
  <c r="W66" i="37"/>
  <c r="W78" i="37"/>
  <c r="W80" i="37"/>
  <c r="W84" i="37"/>
  <c r="AH33" i="39"/>
  <c r="AH44" i="39"/>
  <c r="AH39" i="39"/>
  <c r="AH31" i="39"/>
  <c r="AH22" i="39"/>
  <c r="AH23" i="39"/>
  <c r="AH45" i="39"/>
  <c r="AH36" i="39"/>
  <c r="AH46" i="39"/>
  <c r="AH43" i="39"/>
  <c r="AH26" i="39"/>
  <c r="AH50" i="39"/>
  <c r="AH37" i="39"/>
  <c r="AH21" i="39"/>
  <c r="AH52" i="39"/>
  <c r="AH32" i="39"/>
  <c r="AH18" i="39"/>
  <c r="AH47" i="39"/>
  <c r="AH38" i="39"/>
  <c r="AH49" i="39"/>
  <c r="AH40" i="39"/>
  <c r="AH48" i="39"/>
  <c r="AH54" i="39"/>
  <c r="X73" i="37"/>
  <c r="AH288" i="37"/>
  <c r="AI288" i="37" s="1"/>
  <c r="S48" i="37"/>
  <c r="U123" i="37"/>
  <c r="U175" i="37"/>
  <c r="AH29" i="46"/>
  <c r="W168" i="37"/>
  <c r="T108" i="37"/>
  <c r="AA153" i="37"/>
  <c r="U138" i="37"/>
  <c r="S150" i="37"/>
  <c r="S149" i="37"/>
  <c r="S139" i="37"/>
  <c r="S134" i="37"/>
  <c r="S148" i="37"/>
  <c r="S137" i="37"/>
  <c r="S144" i="37"/>
  <c r="S143" i="37"/>
  <c r="AG18" i="39"/>
  <c r="AG29" i="39"/>
  <c r="AG37" i="39"/>
  <c r="AG43" i="39"/>
  <c r="AG26" i="39"/>
  <c r="AG42" i="39"/>
  <c r="AG32" i="39"/>
  <c r="AG22" i="39"/>
  <c r="AG55" i="39"/>
  <c r="AG24" i="39"/>
  <c r="AG51" i="39"/>
  <c r="AG45" i="39"/>
  <c r="AG33" i="39"/>
  <c r="AG44" i="39"/>
  <c r="AG30" i="39"/>
  <c r="AG19" i="39"/>
  <c r="AG20" i="39"/>
  <c r="AG39" i="39"/>
  <c r="AG49" i="39"/>
  <c r="AG41" i="39"/>
  <c r="AG38" i="39"/>
  <c r="AG25" i="39"/>
  <c r="AG48" i="39"/>
  <c r="AG54" i="39"/>
  <c r="AG53" i="39"/>
  <c r="X68" i="37"/>
  <c r="W73" i="37"/>
  <c r="V80" i="37"/>
  <c r="X86" i="37"/>
  <c r="S52" i="37"/>
  <c r="AB331" i="37"/>
  <c r="AC331" i="37" s="1"/>
  <c r="AB319" i="37"/>
  <c r="AC319" i="37" s="1"/>
  <c r="AB342" i="37"/>
  <c r="AC342" i="37" s="1"/>
  <c r="AB326" i="37"/>
  <c r="AC326" i="37" s="1"/>
  <c r="AB308" i="37"/>
  <c r="AC308" i="37" s="1"/>
  <c r="AB333" i="37"/>
  <c r="AC333" i="37" s="1"/>
  <c r="AB313" i="37"/>
  <c r="AC313" i="37" s="1"/>
  <c r="AB311" i="37"/>
  <c r="AC311" i="37" s="1"/>
  <c r="AB309" i="37"/>
  <c r="AB320" i="37"/>
  <c r="AC320" i="37" s="1"/>
  <c r="AB312" i="37"/>
  <c r="AC312" i="37" s="1"/>
  <c r="AB335" i="37"/>
  <c r="AC335" i="37" s="1"/>
  <c r="AB327" i="37"/>
  <c r="AC327" i="37" s="1"/>
  <c r="AB310" i="37"/>
  <c r="AC310" i="37" s="1"/>
  <c r="AB323" i="37"/>
  <c r="AC323" i="37" s="1"/>
  <c r="AB337" i="37"/>
  <c r="AC337" i="37" s="1"/>
  <c r="AB343" i="37"/>
  <c r="AC343" i="37" s="1"/>
  <c r="AB336" i="37"/>
  <c r="AC336" i="37" s="1"/>
  <c r="AB330" i="37"/>
  <c r="AC330" i="37" s="1"/>
  <c r="AB318" i="37"/>
  <c r="AC318" i="37" s="1"/>
  <c r="AB329" i="37"/>
  <c r="AC329" i="37" s="1"/>
  <c r="AB340" i="37"/>
  <c r="AC340" i="37" s="1"/>
  <c r="AB341" i="37"/>
  <c r="AC341" i="37" s="1"/>
  <c r="AB338" i="37"/>
  <c r="AC338" i="37" s="1"/>
  <c r="AB322" i="37"/>
  <c r="AC322" i="37" s="1"/>
  <c r="AB339" i="37"/>
  <c r="AC339" i="37" s="1"/>
  <c r="AB315" i="37"/>
  <c r="AC315" i="37" s="1"/>
  <c r="AB314" i="37"/>
  <c r="AC314" i="37" s="1"/>
  <c r="AI36" i="46"/>
  <c r="AI29" i="46"/>
  <c r="AI32" i="46"/>
  <c r="AI23" i="46"/>
  <c r="AI52" i="46"/>
  <c r="AI48" i="46"/>
  <c r="AI37" i="46"/>
  <c r="AI56" i="46"/>
  <c r="AI45" i="46"/>
  <c r="AI25" i="46"/>
  <c r="AI22" i="46"/>
  <c r="AI54" i="46"/>
  <c r="AI46" i="46"/>
  <c r="AI59" i="46"/>
  <c r="AI39" i="46"/>
  <c r="AI33" i="46"/>
  <c r="AI42" i="46"/>
  <c r="AE289" i="37"/>
  <c r="AF289" i="37" s="1"/>
  <c r="AH287" i="37"/>
  <c r="AI287" i="37" s="1"/>
  <c r="AH275" i="37"/>
  <c r="AI275" i="37" s="1"/>
  <c r="AE269" i="37"/>
  <c r="AF269" i="37" s="1"/>
  <c r="AE280" i="37"/>
  <c r="AF280" i="37" s="1"/>
  <c r="AE276" i="37"/>
  <c r="AF276" i="37" s="1"/>
  <c r="AE215" i="37"/>
  <c r="AE291" i="37"/>
  <c r="AF291" i="37" s="1"/>
  <c r="AH289" i="37"/>
  <c r="AI289" i="37" s="1"/>
  <c r="AH269" i="37"/>
  <c r="AI269" i="37" s="1"/>
  <c r="AE282" i="37"/>
  <c r="AF282" i="37" s="1"/>
  <c r="AH280" i="37"/>
  <c r="AI280" i="37" s="1"/>
  <c r="AH276" i="37"/>
  <c r="AI276" i="37" s="1"/>
  <c r="AE270" i="37"/>
  <c r="AF270" i="37" s="1"/>
  <c r="AE293" i="37"/>
  <c r="AF293" i="37" s="1"/>
  <c r="AH291" i="37"/>
  <c r="AI291" i="37" s="1"/>
  <c r="AE277" i="37"/>
  <c r="AF277" i="37" s="1"/>
  <c r="AE217" i="37"/>
  <c r="AF217" i="37" s="1"/>
  <c r="AH285" i="37"/>
  <c r="AI285" i="37" s="1"/>
  <c r="AH283" i="37"/>
  <c r="AI283" i="37" s="1"/>
  <c r="AH274" i="37"/>
  <c r="AI274" i="37" s="1"/>
  <c r="AE266" i="37"/>
  <c r="AF266" i="37" s="1"/>
  <c r="AH271" i="37"/>
  <c r="AI271" i="37" s="1"/>
  <c r="AH217" i="37"/>
  <c r="AI217" i="37" s="1"/>
  <c r="AE296" i="37"/>
  <c r="AF296" i="37" s="1"/>
  <c r="AH266" i="37"/>
  <c r="AI266" i="37" s="1"/>
  <c r="AE283" i="37"/>
  <c r="AF283" i="37" s="1"/>
  <c r="AH215" i="37"/>
  <c r="AH296" i="37"/>
  <c r="AI296" i="37" s="1"/>
  <c r="AH290" i="37"/>
  <c r="AI290" i="37" s="1"/>
  <c r="AE271" i="37"/>
  <c r="AF271" i="37" s="1"/>
  <c r="AE267" i="37"/>
  <c r="AF267" i="37" s="1"/>
  <c r="AE284" i="37"/>
  <c r="AF284" i="37" s="1"/>
  <c r="AH216" i="37"/>
  <c r="AI216" i="37" s="1"/>
  <c r="AE281" i="37"/>
  <c r="AF281" i="37" s="1"/>
  <c r="AE262" i="37"/>
  <c r="AF262" i="37" s="1"/>
  <c r="AE279" i="37"/>
  <c r="AF279" i="37" s="1"/>
  <c r="AE278" i="37"/>
  <c r="AF278" i="37" s="1"/>
  <c r="AH263" i="37"/>
  <c r="AI263" i="37" s="1"/>
  <c r="AE214" i="37"/>
  <c r="AF214" i="37" s="1"/>
  <c r="AH293" i="37"/>
  <c r="AI293" i="37" s="1"/>
  <c r="AH281" i="37"/>
  <c r="AI281" i="37" s="1"/>
  <c r="AH262" i="37"/>
  <c r="AI262" i="37" s="1"/>
  <c r="AE295" i="37"/>
  <c r="AF295" i="37" s="1"/>
  <c r="AE275" i="37"/>
  <c r="AF275" i="37" s="1"/>
  <c r="AE273" i="37"/>
  <c r="AF273" i="37" s="1"/>
  <c r="AH261" i="37"/>
  <c r="AI261" i="37" s="1"/>
  <c r="AE260" i="37"/>
  <c r="AF260" i="37" s="1"/>
  <c r="AH264" i="37"/>
  <c r="AI264" i="37" s="1"/>
  <c r="AH286" i="37"/>
  <c r="AI286" i="37" s="1"/>
  <c r="AE292" i="37"/>
  <c r="AF292" i="37" s="1"/>
  <c r="AE288" i="37"/>
  <c r="AF288" i="37" s="1"/>
  <c r="AH282" i="37"/>
  <c r="AI282" i="37" s="1"/>
  <c r="AH284" i="37"/>
  <c r="AI284" i="37" s="1"/>
  <c r="AH268" i="37"/>
  <c r="AI268" i="37" s="1"/>
  <c r="AH214" i="37"/>
  <c r="AI214" i="37" s="1"/>
  <c r="AE272" i="37"/>
  <c r="AF272" i="37" s="1"/>
  <c r="AN30" i="46"/>
  <c r="I106" i="16"/>
  <c r="J106" i="16" s="1"/>
  <c r="I96" i="16"/>
  <c r="J96" i="16" s="1"/>
  <c r="J56" i="16"/>
  <c r="I66" i="16"/>
  <c r="J66" i="16" s="1"/>
  <c r="I86" i="16"/>
  <c r="J86" i="16" s="1"/>
  <c r="I76" i="16"/>
  <c r="J76" i="16" s="1"/>
  <c r="AH35" i="46"/>
  <c r="AH23" i="46"/>
  <c r="AH41" i="46"/>
  <c r="AH51" i="46"/>
  <c r="AH49" i="46"/>
  <c r="AH30" i="46"/>
  <c r="AH25" i="46"/>
  <c r="AH43" i="46"/>
  <c r="AH58" i="46"/>
  <c r="AH45" i="46"/>
  <c r="AH53" i="46"/>
  <c r="AH39" i="46"/>
  <c r="AH26" i="46"/>
  <c r="AH59" i="46"/>
  <c r="AH24" i="46"/>
  <c r="AH31" i="46"/>
  <c r="AH46" i="46"/>
  <c r="AH33" i="46"/>
  <c r="AH27" i="46"/>
  <c r="AH36" i="46"/>
  <c r="AH55" i="46"/>
  <c r="AH32" i="46"/>
  <c r="AH40" i="46"/>
  <c r="AE286" i="37"/>
  <c r="AF286" i="37" s="1"/>
  <c r="AH267" i="37"/>
  <c r="AI267" i="37" s="1"/>
  <c r="AI50" i="46"/>
  <c r="T114" i="37"/>
  <c r="Z198" i="37"/>
  <c r="Z204" i="37"/>
  <c r="Z203" i="37"/>
  <c r="Z191" i="37"/>
  <c r="Z193" i="37"/>
  <c r="Z194" i="37"/>
  <c r="Z196" i="37"/>
  <c r="Z192" i="37"/>
  <c r="Z206" i="37"/>
  <c r="Z201" i="37"/>
  <c r="U113" i="37"/>
  <c r="AI51" i="46"/>
  <c r="AN28" i="46"/>
  <c r="X201" i="37"/>
  <c r="X191" i="37"/>
  <c r="X198" i="37"/>
  <c r="X205" i="37"/>
  <c r="X204" i="37"/>
  <c r="X196" i="37"/>
  <c r="X192" i="37"/>
  <c r="X193" i="37"/>
  <c r="X199" i="37"/>
  <c r="X190" i="37"/>
  <c r="X206" i="37"/>
  <c r="X208" i="37"/>
  <c r="AE274" i="37"/>
  <c r="AF274" i="37" s="1"/>
  <c r="X44" i="37"/>
  <c r="AE287" i="37"/>
  <c r="AF287" i="37" s="1"/>
  <c r="AE290" i="37"/>
  <c r="AF290" i="37" s="1"/>
  <c r="AN33" i="46"/>
  <c r="AH278" i="37"/>
  <c r="AI278" i="37" s="1"/>
  <c r="AH294" i="37"/>
  <c r="AI294" i="37" s="1"/>
  <c r="AI34" i="46"/>
  <c r="AB175" i="37"/>
  <c r="Z205" i="37"/>
  <c r="AH38" i="46"/>
  <c r="AI30" i="46"/>
  <c r="AH42" i="46"/>
  <c r="AO30" i="39"/>
  <c r="AO46" i="39"/>
  <c r="AO34" i="39"/>
  <c r="AO55" i="39"/>
  <c r="AO23" i="39"/>
  <c r="AO18" i="39"/>
  <c r="AO32" i="39"/>
  <c r="AO24" i="39"/>
  <c r="AO20" i="39"/>
  <c r="AO37" i="39"/>
  <c r="AO42" i="39"/>
  <c r="AO36" i="39"/>
  <c r="AO51" i="39"/>
  <c r="AO40" i="39"/>
  <c r="AO43" i="39"/>
  <c r="AO33" i="39"/>
  <c r="AO41" i="39"/>
  <c r="AO48" i="39"/>
  <c r="AO45" i="39"/>
  <c r="AO21" i="39"/>
  <c r="AO28" i="39"/>
  <c r="AE261" i="37"/>
  <c r="AF261" i="37" s="1"/>
  <c r="AH265" i="37"/>
  <c r="AI265" i="37" s="1"/>
  <c r="S24" i="37"/>
  <c r="AB317" i="37"/>
  <c r="AC317" i="37" s="1"/>
  <c r="V73" i="37"/>
  <c r="AB324" i="37"/>
  <c r="AC324" i="37" s="1"/>
  <c r="AB328" i="37"/>
  <c r="AC328" i="37" s="1"/>
  <c r="Z89" i="37"/>
  <c r="Z209" i="37"/>
  <c r="AH28" i="46"/>
  <c r="AI28" i="46"/>
  <c r="AH44" i="46"/>
  <c r="AA114" i="37"/>
  <c r="AA119" i="37"/>
  <c r="AA107" i="37"/>
  <c r="AA111" i="37"/>
  <c r="AA120" i="37"/>
  <c r="AA124" i="37"/>
  <c r="AA118" i="37"/>
  <c r="AA121" i="37"/>
  <c r="AA108" i="37"/>
  <c r="AA106" i="37"/>
  <c r="AA112" i="37"/>
  <c r="AA116" i="37"/>
  <c r="AA115" i="37"/>
  <c r="AA113" i="37"/>
  <c r="AP27" i="46"/>
  <c r="AP21" i="46"/>
  <c r="AP59" i="46"/>
  <c r="AP50" i="46"/>
  <c r="AP51" i="46"/>
  <c r="AP34" i="46"/>
  <c r="AP49" i="46"/>
  <c r="AP29" i="46"/>
  <c r="AP36" i="46"/>
  <c r="AP53" i="46"/>
  <c r="AP35" i="46"/>
  <c r="AP41" i="46"/>
  <c r="AP44" i="46"/>
  <c r="AP43" i="46"/>
  <c r="AP42" i="46"/>
  <c r="AP56" i="46"/>
  <c r="AP32" i="46"/>
  <c r="AP26" i="46"/>
  <c r="AP40" i="46"/>
  <c r="AP31" i="46"/>
  <c r="AP20" i="46"/>
  <c r="AP23" i="46"/>
  <c r="AP37" i="46"/>
  <c r="AP54" i="46"/>
  <c r="AP55" i="46"/>
  <c r="S42" i="37"/>
  <c r="U134" i="37"/>
  <c r="AN48" i="46"/>
  <c r="AM29" i="46"/>
  <c r="AM33" i="46"/>
  <c r="AM20" i="46"/>
  <c r="AM21" i="46"/>
  <c r="AM22" i="46"/>
  <c r="AM23" i="46"/>
  <c r="AM56" i="46"/>
  <c r="AM49" i="46"/>
  <c r="AM59" i="46"/>
  <c r="AM45" i="46"/>
  <c r="AM50" i="46"/>
  <c r="AM40" i="46"/>
  <c r="AM28" i="46"/>
  <c r="AM55" i="46"/>
  <c r="AM54" i="46"/>
  <c r="AM32" i="46"/>
  <c r="AM26" i="46"/>
  <c r="AM43" i="46"/>
  <c r="AM58" i="46"/>
  <c r="AM46" i="46"/>
  <c r="AM35" i="46"/>
  <c r="AM53" i="46"/>
  <c r="AM52" i="46"/>
  <c r="AM42" i="46"/>
  <c r="AM48" i="46"/>
  <c r="Z67" i="37"/>
  <c r="AE265" i="37"/>
  <c r="AF265" i="37" s="1"/>
  <c r="AB321" i="37"/>
  <c r="AC321" i="37" s="1"/>
  <c r="Z79" i="37"/>
  <c r="AB332" i="37"/>
  <c r="AC332" i="37" s="1"/>
  <c r="X89" i="37"/>
  <c r="U111" i="37"/>
  <c r="W173" i="37"/>
  <c r="Z208" i="37"/>
  <c r="AH53" i="39"/>
  <c r="T152" i="37"/>
  <c r="AP38" i="46"/>
  <c r="AM27" i="46"/>
  <c r="AO54" i="39"/>
  <c r="W164" i="37"/>
  <c r="U136" i="37"/>
  <c r="T121" i="37"/>
  <c r="AN34" i="46"/>
  <c r="AI31" i="46"/>
  <c r="AN51" i="46"/>
  <c r="AL20" i="46"/>
  <c r="AL28" i="46"/>
  <c r="AL29" i="46"/>
  <c r="AL26" i="46"/>
  <c r="AL30" i="46"/>
  <c r="AL47" i="46"/>
  <c r="AL51" i="46"/>
  <c r="AL34" i="46"/>
  <c r="AL55" i="46"/>
  <c r="AL27" i="46"/>
  <c r="AL39" i="46"/>
  <c r="AL40" i="46"/>
  <c r="AL36" i="46"/>
  <c r="AL54" i="46"/>
  <c r="AL22" i="46"/>
  <c r="AL42" i="46"/>
  <c r="AL23" i="46"/>
  <c r="AL37" i="46"/>
  <c r="AL24" i="46"/>
  <c r="AL58" i="46"/>
  <c r="AL57" i="46"/>
  <c r="T168" i="37"/>
  <c r="T174" i="37"/>
  <c r="T165" i="37"/>
  <c r="T170" i="37"/>
  <c r="T178" i="37"/>
  <c r="T166" i="37"/>
  <c r="T173" i="37"/>
  <c r="T169" i="37"/>
  <c r="T172" i="37"/>
  <c r="T164" i="37"/>
  <c r="Z106" i="37"/>
  <c r="Z107" i="37"/>
  <c r="Z125" i="37"/>
  <c r="Z113" i="37"/>
  <c r="Z112" i="37"/>
  <c r="Z115" i="37"/>
  <c r="Z124" i="37"/>
  <c r="Z120" i="37"/>
  <c r="Z108" i="37"/>
  <c r="Z111" i="37"/>
  <c r="Z118" i="37"/>
  <c r="Z121" i="37"/>
  <c r="AQ43" i="46"/>
  <c r="AQ42" i="46"/>
  <c r="AQ51" i="46"/>
  <c r="AQ57" i="46"/>
  <c r="AQ21" i="46"/>
  <c r="AQ26" i="46"/>
  <c r="AQ53" i="46"/>
  <c r="AQ47" i="46"/>
  <c r="AQ35" i="46"/>
  <c r="AQ52" i="46"/>
  <c r="AQ25" i="46"/>
  <c r="AQ20" i="46"/>
  <c r="AQ40" i="46"/>
  <c r="AQ49" i="46"/>
  <c r="AQ46" i="46"/>
  <c r="AQ39" i="46"/>
  <c r="AQ33" i="46"/>
  <c r="AQ29" i="46"/>
  <c r="AQ22" i="46"/>
  <c r="AQ38" i="46"/>
  <c r="AQ50" i="46"/>
  <c r="AQ24" i="46"/>
  <c r="AQ48" i="46"/>
  <c r="AQ37" i="46"/>
  <c r="W79" i="37"/>
  <c r="W166" i="37"/>
  <c r="AB177" i="37"/>
  <c r="AB166" i="37"/>
  <c r="AI27" i="46"/>
  <c r="AP52" i="46"/>
  <c r="AM37" i="46"/>
  <c r="AL38" i="46"/>
  <c r="AQ27" i="46"/>
  <c r="AO27" i="39"/>
  <c r="U151" i="37"/>
  <c r="T125" i="37"/>
  <c r="T177" i="37"/>
  <c r="AN29" i="46"/>
  <c r="AI24" i="46"/>
  <c r="AN50" i="46"/>
  <c r="T96" i="37"/>
  <c r="T87" i="37"/>
  <c r="T71" i="37"/>
  <c r="T78" i="37"/>
  <c r="T89" i="37"/>
  <c r="T72" i="37"/>
  <c r="T91" i="37"/>
  <c r="T73" i="37"/>
  <c r="T68" i="37"/>
  <c r="T93" i="37"/>
  <c r="T92" i="37"/>
  <c r="T66" i="37"/>
  <c r="T86" i="37"/>
  <c r="T81" i="37"/>
  <c r="T77" i="37"/>
  <c r="T64" i="37"/>
  <c r="T94" i="37"/>
  <c r="T80" i="37"/>
  <c r="T88" i="37"/>
  <c r="T70" i="37"/>
  <c r="T69" i="37"/>
  <c r="T67" i="37"/>
  <c r="T65" i="37"/>
  <c r="T90" i="37"/>
  <c r="T79" i="37"/>
  <c r="AH260" i="37"/>
  <c r="AI260" i="37" s="1"/>
  <c r="W67" i="37"/>
  <c r="AE264" i="37"/>
  <c r="AF264" i="37" s="1"/>
  <c r="T76" i="37"/>
  <c r="T83" i="37"/>
  <c r="AE285" i="37"/>
  <c r="AF285" i="37" s="1"/>
  <c r="X49" i="37"/>
  <c r="AH292" i="37"/>
  <c r="AI292" i="37" s="1"/>
  <c r="S54" i="37"/>
  <c r="AA141" i="37"/>
  <c r="AA143" i="37"/>
  <c r="AA136" i="37"/>
  <c r="AA142" i="37"/>
  <c r="AA147" i="37"/>
  <c r="AA135" i="37"/>
  <c r="AA150" i="37"/>
  <c r="AA149" i="37"/>
  <c r="AA138" i="37"/>
  <c r="AA145" i="37"/>
  <c r="AA152" i="37"/>
  <c r="AA140" i="37"/>
  <c r="AA151" i="37"/>
  <c r="AA134" i="37"/>
  <c r="AI53" i="46"/>
  <c r="AN56" i="46"/>
  <c r="AH47" i="46"/>
  <c r="AB180" i="37"/>
  <c r="AI40" i="46"/>
  <c r="AB325" i="37"/>
  <c r="AC325" i="37" s="1"/>
  <c r="Z207" i="37"/>
  <c r="AH57" i="46"/>
  <c r="AN43" i="46"/>
  <c r="Z190" i="37"/>
  <c r="X197" i="37"/>
  <c r="AH273" i="37"/>
  <c r="AI273" i="37" s="1"/>
  <c r="T115" i="37"/>
  <c r="U167" i="37"/>
  <c r="U171" i="37"/>
  <c r="U181" i="37"/>
  <c r="U179" i="37"/>
  <c r="U174" i="37"/>
  <c r="U170" i="37"/>
  <c r="U173" i="37"/>
  <c r="U169" i="37"/>
  <c r="U177" i="37"/>
  <c r="U178" i="37"/>
  <c r="AO39" i="39"/>
  <c r="AA146" i="37"/>
  <c r="W181" i="37"/>
  <c r="U116" i="37"/>
  <c r="Z202" i="37"/>
  <c r="AM57" i="46"/>
  <c r="AL31" i="46"/>
  <c r="AQ44" i="46"/>
  <c r="AO26" i="39"/>
  <c r="U141" i="37"/>
  <c r="Z123" i="37"/>
  <c r="AN55" i="46"/>
  <c r="AI58" i="46"/>
  <c r="X106" i="37"/>
  <c r="X123" i="37"/>
  <c r="X125" i="37"/>
  <c r="X110" i="37"/>
  <c r="X120" i="37"/>
  <c r="X119" i="37"/>
  <c r="X107" i="37"/>
  <c r="X117" i="37"/>
  <c r="X115" i="37"/>
  <c r="AR32" i="46"/>
  <c r="AR39" i="46"/>
  <c r="AR55" i="46"/>
  <c r="AR38" i="46"/>
  <c r="AR37" i="46"/>
  <c r="AR33" i="46"/>
  <c r="AR44" i="46"/>
  <c r="AR54" i="46"/>
  <c r="AR42" i="46"/>
  <c r="AR48" i="46"/>
  <c r="AR46" i="46"/>
  <c r="AR58" i="46"/>
  <c r="AR52" i="46"/>
  <c r="AR51" i="46"/>
  <c r="AR41" i="46"/>
  <c r="AR49" i="46"/>
  <c r="AR21" i="46"/>
  <c r="AR25" i="46"/>
  <c r="W163" i="37"/>
  <c r="AE268" i="37"/>
  <c r="AF268" i="37" s="1"/>
  <c r="AN37" i="46"/>
  <c r="AN41" i="46"/>
  <c r="AN25" i="46"/>
  <c r="AN47" i="46"/>
  <c r="AN35" i="46"/>
  <c r="AN24" i="46"/>
  <c r="AN44" i="46"/>
  <c r="AN58" i="46"/>
  <c r="AN36" i="46"/>
  <c r="AN42" i="46"/>
  <c r="AN45" i="46"/>
  <c r="AN23" i="46"/>
  <c r="AN26" i="46"/>
  <c r="AN57" i="46"/>
  <c r="AN20" i="46"/>
  <c r="AN32" i="46"/>
  <c r="AN59" i="46"/>
  <c r="AI44" i="46"/>
  <c r="AI35" i="46"/>
  <c r="AN31" i="46"/>
  <c r="T110" i="37"/>
  <c r="T106" i="37"/>
  <c r="T120" i="37"/>
  <c r="T117" i="37"/>
  <c r="T123" i="37"/>
  <c r="T124" i="37"/>
  <c r="T112" i="37"/>
  <c r="T107" i="37"/>
  <c r="T111" i="37"/>
  <c r="T113" i="37"/>
  <c r="T118" i="37"/>
  <c r="X21" i="37"/>
  <c r="X135" i="37"/>
  <c r="X141" i="37"/>
  <c r="X140" i="37"/>
  <c r="X144" i="37"/>
  <c r="X136" i="37"/>
  <c r="X148" i="37"/>
  <c r="X137" i="37"/>
  <c r="X142" i="37"/>
  <c r="X134" i="37"/>
  <c r="X151" i="37"/>
  <c r="X145" i="37"/>
  <c r="Z200" i="37"/>
  <c r="AI26" i="46"/>
  <c r="X152" i="37"/>
  <c r="X149" i="37"/>
  <c r="T109" i="37"/>
  <c r="V94" i="37"/>
  <c r="V70" i="37"/>
  <c r="V85" i="37"/>
  <c r="V77" i="37"/>
  <c r="V96" i="37"/>
  <c r="V87" i="37"/>
  <c r="V71" i="37"/>
  <c r="V78" i="37"/>
  <c r="V76" i="37"/>
  <c r="V89" i="37"/>
  <c r="V72" i="37"/>
  <c r="V93" i="37"/>
  <c r="V65" i="37"/>
  <c r="V86" i="37"/>
  <c r="V81" i="37"/>
  <c r="V64" i="37"/>
  <c r="V88" i="37"/>
  <c r="V68" i="37"/>
  <c r="V83" i="37"/>
  <c r="V66" i="37"/>
  <c r="V67" i="37"/>
  <c r="V84" i="37"/>
  <c r="AH270" i="37"/>
  <c r="AI270" i="37" s="1"/>
  <c r="X194" i="37"/>
  <c r="AO50" i="39"/>
  <c r="AB162" i="37"/>
  <c r="X150" i="37"/>
  <c r="T122" i="37"/>
  <c r="X153" i="37"/>
  <c r="AL33" i="46"/>
  <c r="AQ54" i="46"/>
  <c r="AO38" i="39"/>
  <c r="T116" i="37"/>
  <c r="AL25" i="46"/>
  <c r="Z122" i="37"/>
  <c r="AN53" i="46"/>
  <c r="AI41" i="46"/>
  <c r="AH22" i="46"/>
  <c r="AN40" i="46"/>
  <c r="AP46" i="46"/>
  <c r="AB148" i="37"/>
  <c r="AB139" i="37"/>
  <c r="AB153" i="37"/>
  <c r="AB142" i="37"/>
  <c r="AB145" i="37"/>
  <c r="AB147" i="37"/>
  <c r="AB141" i="37"/>
  <c r="AB140" i="37"/>
  <c r="AB151" i="37"/>
  <c r="AB152" i="37"/>
  <c r="AB143" i="37"/>
  <c r="AB316" i="37"/>
  <c r="AC316" i="37" s="1"/>
  <c r="AH272" i="37"/>
  <c r="AI272" i="37" s="1"/>
  <c r="W82" i="37"/>
  <c r="AH279" i="37"/>
  <c r="AI279" i="37" s="1"/>
  <c r="X84" i="37"/>
  <c r="X40" i="37"/>
  <c r="Z87" i="37"/>
  <c r="W90" i="37"/>
  <c r="V117" i="37"/>
  <c r="V124" i="37"/>
  <c r="V111" i="37"/>
  <c r="V118" i="37"/>
  <c r="V114" i="37"/>
  <c r="W49" i="37"/>
  <c r="V121" i="37"/>
  <c r="AA194" i="37"/>
  <c r="AG36" i="46"/>
  <c r="AU45" i="39"/>
  <c r="AU36" i="39"/>
  <c r="AU23" i="39"/>
  <c r="AU54" i="39"/>
  <c r="AU20" i="39"/>
  <c r="AU22" i="39"/>
  <c r="AU26" i="39"/>
  <c r="AU53" i="39"/>
  <c r="AU40" i="39"/>
  <c r="AU55" i="39"/>
  <c r="AU46" i="39"/>
  <c r="AU50" i="39"/>
  <c r="AU35" i="39"/>
  <c r="AU34" i="39"/>
  <c r="AU49" i="39"/>
  <c r="AU24" i="39"/>
  <c r="AU18" i="39"/>
  <c r="AU30" i="39"/>
  <c r="AU39" i="39"/>
  <c r="AU48" i="39"/>
  <c r="AU21" i="39"/>
  <c r="T47" i="37"/>
  <c r="S124" i="37"/>
  <c r="S108" i="37"/>
  <c r="S111" i="37"/>
  <c r="S107" i="37"/>
  <c r="S106" i="37"/>
  <c r="S115" i="37"/>
  <c r="S123" i="37"/>
  <c r="AA196" i="37"/>
  <c r="AG30" i="46"/>
  <c r="Z167" i="37"/>
  <c r="Z166" i="37"/>
  <c r="Z174" i="37"/>
  <c r="Z181" i="37"/>
  <c r="V135" i="37"/>
  <c r="V143" i="37"/>
  <c r="V138" i="37"/>
  <c r="V141" i="37"/>
  <c r="V136" i="37"/>
  <c r="V137" i="37"/>
  <c r="V153" i="37"/>
  <c r="V54" i="37"/>
  <c r="V37" i="37"/>
  <c r="V48" i="37"/>
  <c r="V24" i="37"/>
  <c r="V39" i="37"/>
  <c r="V31" i="37"/>
  <c r="V50" i="37"/>
  <c r="V41" i="37"/>
  <c r="V25" i="37"/>
  <c r="V33" i="37"/>
  <c r="V28" i="37"/>
  <c r="V21" i="37"/>
  <c r="V23" i="37"/>
  <c r="V32" i="37"/>
  <c r="V44" i="37"/>
  <c r="V45" i="37"/>
  <c r="V19" i="37"/>
  <c r="V40" i="37"/>
  <c r="V53" i="37"/>
  <c r="V49" i="37"/>
  <c r="V18" i="37"/>
  <c r="AE33" i="46"/>
  <c r="AE20" i="46"/>
  <c r="AE51" i="46"/>
  <c r="AE23" i="46"/>
  <c r="AE59" i="46"/>
  <c r="AE27" i="46"/>
  <c r="AE54" i="46"/>
  <c r="AE57" i="46"/>
  <c r="AE26" i="46"/>
  <c r="AE50" i="46"/>
  <c r="AE30" i="46"/>
  <c r="AE24" i="46"/>
  <c r="AE53" i="46"/>
  <c r="AE48" i="46"/>
  <c r="AE25" i="46"/>
  <c r="AE44" i="46"/>
  <c r="AA191" i="37"/>
  <c r="V36" i="37"/>
  <c r="K161" i="16"/>
  <c r="W46" i="37"/>
  <c r="W30" i="37"/>
  <c r="W54" i="37"/>
  <c r="W37" i="37"/>
  <c r="W48" i="37"/>
  <c r="W24" i="37"/>
  <c r="W39" i="37"/>
  <c r="W31" i="37"/>
  <c r="W50" i="37"/>
  <c r="W52" i="37"/>
  <c r="W33" i="37"/>
  <c r="W28" i="37"/>
  <c r="W21" i="37"/>
  <c r="W20" i="37"/>
  <c r="W32" i="37"/>
  <c r="W23" i="37"/>
  <c r="W44" i="37"/>
  <c r="W34" i="37"/>
  <c r="W19" i="37"/>
  <c r="W40" i="37"/>
  <c r="W26" i="37"/>
  <c r="AG49" i="46"/>
  <c r="AG23" i="46"/>
  <c r="AG56" i="46"/>
  <c r="AG33" i="46"/>
  <c r="AG47" i="46"/>
  <c r="AG28" i="46"/>
  <c r="AG34" i="46"/>
  <c r="AG40" i="46"/>
  <c r="AG24" i="46"/>
  <c r="AG57" i="46"/>
  <c r="W36" i="37"/>
  <c r="AG51" i="46"/>
  <c r="X172" i="37"/>
  <c r="X171" i="37"/>
  <c r="X165" i="37"/>
  <c r="AA75" i="37"/>
  <c r="AA67" i="37"/>
  <c r="AA90" i="37"/>
  <c r="AA82" i="37"/>
  <c r="AA69" i="37"/>
  <c r="AA65" i="37"/>
  <c r="AA92" i="37"/>
  <c r="AA76" i="37"/>
  <c r="AA83" i="37"/>
  <c r="AA79" i="37"/>
  <c r="AA74" i="37"/>
  <c r="AA71" i="37"/>
  <c r="AA97" i="37"/>
  <c r="AA84" i="37"/>
  <c r="AA77" i="37"/>
  <c r="AA68" i="37"/>
  <c r="AA73" i="37"/>
  <c r="AA72" i="37"/>
  <c r="AA70" i="37"/>
  <c r="AA88" i="37"/>
  <c r="U48" i="37"/>
  <c r="U24" i="37"/>
  <c r="U39" i="37"/>
  <c r="U31" i="37"/>
  <c r="U50" i="37"/>
  <c r="U41" i="37"/>
  <c r="U25" i="37"/>
  <c r="U32" i="37"/>
  <c r="U33" i="37"/>
  <c r="U28" i="37"/>
  <c r="U21" i="37"/>
  <c r="U23" i="37"/>
  <c r="U37" i="37"/>
  <c r="U44" i="37"/>
  <c r="U45" i="37"/>
  <c r="U27" i="37"/>
  <c r="U53" i="37"/>
  <c r="U51" i="37"/>
  <c r="U38" i="37"/>
  <c r="U40" i="37"/>
  <c r="U49" i="37"/>
  <c r="U18" i="37"/>
  <c r="U30" i="37"/>
  <c r="U17" i="37"/>
  <c r="AA64" i="37"/>
  <c r="W35" i="37"/>
  <c r="U36" i="37"/>
  <c r="W53" i="37"/>
  <c r="AA200" i="37"/>
  <c r="AA204" i="37"/>
  <c r="AA193" i="37"/>
  <c r="AA190" i="37"/>
  <c r="AA209" i="37"/>
  <c r="AG25" i="46"/>
  <c r="AA192" i="37"/>
  <c r="AG35" i="46"/>
  <c r="T39" i="37"/>
  <c r="T31" i="37"/>
  <c r="T50" i="37"/>
  <c r="T41" i="37"/>
  <c r="T25" i="37"/>
  <c r="T32" i="37"/>
  <c r="T43" i="37"/>
  <c r="T23" i="37"/>
  <c r="T19" i="37"/>
  <c r="T44" i="37"/>
  <c r="T45" i="37"/>
  <c r="T27" i="37"/>
  <c r="T53" i="37"/>
  <c r="T51" i="37"/>
  <c r="T38" i="37"/>
  <c r="T17" i="37"/>
  <c r="T49" i="37"/>
  <c r="T33" i="37"/>
  <c r="T18" i="37"/>
  <c r="T30" i="37"/>
  <c r="T46" i="37"/>
  <c r="T29" i="37"/>
  <c r="AD41" i="46"/>
  <c r="AD47" i="46"/>
  <c r="AD55" i="46"/>
  <c r="AD26" i="46"/>
  <c r="AD57" i="46"/>
  <c r="AD43" i="46"/>
  <c r="AD54" i="46"/>
  <c r="AD56" i="46"/>
  <c r="AD38" i="46"/>
  <c r="AD40" i="46"/>
  <c r="AD48" i="46"/>
  <c r="AD59" i="46"/>
  <c r="Z163" i="37"/>
  <c r="W27" i="37"/>
  <c r="V34" i="37"/>
  <c r="V35" i="37"/>
  <c r="T36" i="37"/>
  <c r="AA93" i="37"/>
  <c r="AC59" i="46"/>
  <c r="AC46" i="46"/>
  <c r="AC23" i="46"/>
  <c r="AC24" i="46"/>
  <c r="AC38" i="46"/>
  <c r="AC28" i="46"/>
  <c r="AC51" i="46"/>
  <c r="AC52" i="46"/>
  <c r="AC32" i="46"/>
  <c r="AC44" i="46"/>
  <c r="AC50" i="46"/>
  <c r="AC36" i="46"/>
  <c r="AC31" i="46"/>
  <c r="AI41" i="39"/>
  <c r="AI47" i="39"/>
  <c r="AI28" i="39"/>
  <c r="AI32" i="39"/>
  <c r="AI40" i="39"/>
  <c r="AI46" i="39"/>
  <c r="AI51" i="39"/>
  <c r="AI27" i="39"/>
  <c r="AI23" i="39"/>
  <c r="AB190" i="37"/>
  <c r="AB206" i="37"/>
  <c r="AB194" i="37"/>
  <c r="AB201" i="37"/>
  <c r="AB202" i="37"/>
  <c r="AB198" i="37"/>
  <c r="AB200" i="37"/>
  <c r="U191" i="37"/>
  <c r="U201" i="37"/>
  <c r="U194" i="37"/>
  <c r="U205" i="37"/>
  <c r="U206" i="37"/>
  <c r="U203" i="37"/>
  <c r="U207" i="37"/>
  <c r="S87" i="37"/>
  <c r="S71" i="37"/>
  <c r="S78" i="37"/>
  <c r="S89" i="37"/>
  <c r="S72" i="37"/>
  <c r="S91" i="37"/>
  <c r="S79" i="37"/>
  <c r="S63" i="37"/>
  <c r="S73" i="37"/>
  <c r="S68" i="37"/>
  <c r="S93" i="37"/>
  <c r="S92" i="37"/>
  <c r="S66" i="37"/>
  <c r="S95" i="37"/>
  <c r="S94" i="37"/>
  <c r="S90" i="37"/>
  <c r="S84" i="37"/>
  <c r="S83" i="37"/>
  <c r="S64" i="37"/>
  <c r="AB33" i="37"/>
  <c r="S80" i="37"/>
  <c r="AB37" i="37"/>
  <c r="AB43" i="37"/>
  <c r="AB51" i="37"/>
  <c r="AB35" i="37"/>
  <c r="AB42" i="37"/>
  <c r="AB22" i="37"/>
  <c r="AB20" i="37"/>
  <c r="AB18" i="37"/>
  <c r="AB52" i="37"/>
  <c r="AB29" i="37"/>
  <c r="AB21" i="37"/>
  <c r="AB17" i="37"/>
  <c r="AB44" i="37"/>
  <c r="AB36" i="37"/>
  <c r="AB53" i="37"/>
  <c r="AB23" i="37"/>
  <c r="AB19" i="37"/>
  <c r="AB31" i="37"/>
  <c r="AB26" i="37"/>
  <c r="AT48" i="39"/>
  <c r="AT29" i="39"/>
  <c r="AT42" i="39"/>
  <c r="AF23" i="46"/>
  <c r="AF41" i="46"/>
  <c r="AF58" i="46"/>
  <c r="AB24" i="37"/>
  <c r="AJ26" i="46"/>
  <c r="AJ39" i="46"/>
  <c r="AJ33" i="46"/>
  <c r="AJ45" i="46"/>
  <c r="U68" i="37"/>
  <c r="U73" i="37"/>
  <c r="U85" i="37"/>
  <c r="U77" i="37"/>
  <c r="U96" i="37"/>
  <c r="U87" i="37"/>
  <c r="U71" i="37"/>
  <c r="U78" i="37"/>
  <c r="U89" i="37"/>
  <c r="U76" i="37"/>
  <c r="AB263" i="37"/>
  <c r="AC263" i="37" s="1"/>
  <c r="AB271" i="37"/>
  <c r="AC271" i="37" s="1"/>
  <c r="AB76" i="37"/>
  <c r="AA30" i="37"/>
  <c r="Z37" i="37"/>
  <c r="AB92" i="37"/>
  <c r="AA46" i="37"/>
  <c r="AB294" i="37"/>
  <c r="AC294" i="37" s="1"/>
  <c r="Z54" i="37"/>
  <c r="AB260" i="37"/>
  <c r="AC260" i="37" s="1"/>
  <c r="AB65" i="37"/>
  <c r="AA19" i="37"/>
  <c r="AB262" i="37"/>
  <c r="AC262" i="37" s="1"/>
  <c r="AB264" i="37"/>
  <c r="AC264" i="37" s="1"/>
  <c r="AB69" i="37"/>
  <c r="AA23" i="37"/>
  <c r="Z30" i="37"/>
  <c r="AB284" i="37"/>
  <c r="AC284" i="37" s="1"/>
  <c r="Z46" i="37"/>
  <c r="AA53" i="37"/>
  <c r="Z19" i="37"/>
  <c r="Z23" i="37"/>
  <c r="AB277" i="37"/>
  <c r="AC277" i="37" s="1"/>
  <c r="AB82" i="37"/>
  <c r="AA36" i="37"/>
  <c r="AB90" i="37"/>
  <c r="AA44" i="37"/>
  <c r="AB293" i="37"/>
  <c r="AC293" i="37" s="1"/>
  <c r="Z53" i="37"/>
  <c r="AA17" i="37"/>
  <c r="AB67" i="37"/>
  <c r="AA21" i="37"/>
  <c r="AB270" i="37"/>
  <c r="AC270" i="37" s="1"/>
  <c r="AB75" i="37"/>
  <c r="AA29" i="37"/>
  <c r="Z36" i="37"/>
  <c r="AB282" i="37"/>
  <c r="AC282" i="37" s="1"/>
  <c r="Z44" i="37"/>
  <c r="AA52" i="37"/>
  <c r="Z17" i="37"/>
  <c r="AB64" i="37"/>
  <c r="AA18" i="37"/>
  <c r="AB66" i="37"/>
  <c r="AA20" i="37"/>
  <c r="Z21" i="37"/>
  <c r="AB68" i="37"/>
  <c r="AA22" i="37"/>
  <c r="Z29" i="37"/>
  <c r="N51" i="37" l="1"/>
  <c r="I51" i="37" s="1"/>
  <c r="J51" i="37" s="1"/>
  <c r="H163" i="37"/>
  <c r="O44" i="37"/>
  <c r="H143" i="37"/>
  <c r="N143" i="37" s="1"/>
  <c r="N53" i="37"/>
  <c r="H139" i="37"/>
  <c r="H119" i="37"/>
  <c r="N27" i="37"/>
  <c r="J210" i="37"/>
  <c r="G103" i="16" s="1"/>
  <c r="K103" i="16" s="1"/>
  <c r="O197" i="37"/>
  <c r="N205" i="37"/>
  <c r="O205" i="37"/>
  <c r="O153" i="37"/>
  <c r="Q154" i="37"/>
  <c r="I182" i="37"/>
  <c r="G92" i="16" s="1"/>
  <c r="K92" i="16" s="1"/>
  <c r="N191" i="37"/>
  <c r="H169" i="37"/>
  <c r="P169" i="37"/>
  <c r="H173" i="37"/>
  <c r="P173" i="37"/>
  <c r="N204" i="37"/>
  <c r="O204" i="37"/>
  <c r="O195" i="37"/>
  <c r="N195" i="37"/>
  <c r="H199" i="37"/>
  <c r="P199" i="37"/>
  <c r="P210" i="37" s="1"/>
  <c r="G108" i="16" s="1"/>
  <c r="K108" i="16" s="1"/>
  <c r="I210" i="37"/>
  <c r="G102" i="16" s="1"/>
  <c r="K102" i="16" s="1"/>
  <c r="M182" i="37"/>
  <c r="H177" i="37"/>
  <c r="P177" i="37"/>
  <c r="N192" i="37"/>
  <c r="O192" i="37"/>
  <c r="N208" i="37"/>
  <c r="O208" i="37"/>
  <c r="O194" i="37"/>
  <c r="N194" i="37"/>
  <c r="H203" i="37"/>
  <c r="N200" i="37"/>
  <c r="O200" i="37"/>
  <c r="O206" i="37"/>
  <c r="N206" i="37"/>
  <c r="O190" i="37"/>
  <c r="H165" i="37"/>
  <c r="P165" i="37"/>
  <c r="H181" i="37"/>
  <c r="P181" i="37"/>
  <c r="N196" i="37"/>
  <c r="O196" i="37"/>
  <c r="M210" i="37"/>
  <c r="O202" i="37"/>
  <c r="N202" i="37"/>
  <c r="O198" i="37"/>
  <c r="N198" i="37"/>
  <c r="H207" i="37"/>
  <c r="H22" i="56"/>
  <c r="G182" i="16"/>
  <c r="K182" i="16" s="1"/>
  <c r="H18" i="56"/>
  <c r="G178" i="16"/>
  <c r="K178" i="16" s="1"/>
  <c r="H34" i="56"/>
  <c r="G194" i="16"/>
  <c r="K194" i="16" s="1"/>
  <c r="H24" i="56"/>
  <c r="G184" i="16"/>
  <c r="K184" i="16" s="1"/>
  <c r="H13" i="56"/>
  <c r="G173" i="16"/>
  <c r="K173" i="16" s="1"/>
  <c r="H19" i="56"/>
  <c r="G179" i="16"/>
  <c r="K179" i="16" s="1"/>
  <c r="I137" i="16"/>
  <c r="J137" i="16" s="1"/>
  <c r="AO44" i="46" s="1"/>
  <c r="G34" i="52"/>
  <c r="Y20" i="46"/>
  <c r="Z20" i="46"/>
  <c r="V39" i="39"/>
  <c r="W39" i="39" s="1"/>
  <c r="L47" i="39"/>
  <c r="V32" i="39"/>
  <c r="W32" i="39" s="1"/>
  <c r="U30" i="39"/>
  <c r="U56" i="39" s="1"/>
  <c r="P30" i="39"/>
  <c r="Q30" i="39" s="1"/>
  <c r="U35" i="39"/>
  <c r="T35" i="39"/>
  <c r="R35" i="39"/>
  <c r="T33" i="39"/>
  <c r="V33" i="39" s="1"/>
  <c r="W33" i="39" s="1"/>
  <c r="T49" i="39"/>
  <c r="U49" i="39"/>
  <c r="P49" i="39"/>
  <c r="Q49" i="39" s="1"/>
  <c r="R49" i="39"/>
  <c r="K56" i="39"/>
  <c r="V26" i="39"/>
  <c r="W26" i="39" s="1"/>
  <c r="U52" i="39"/>
  <c r="P52" i="39"/>
  <c r="Q52" i="39" s="1"/>
  <c r="T48" i="39"/>
  <c r="U48" i="39"/>
  <c r="N56" i="39"/>
  <c r="P23" i="39"/>
  <c r="Q23" i="39" s="1"/>
  <c r="T23" i="39"/>
  <c r="R23" i="39"/>
  <c r="U23" i="39"/>
  <c r="V30" i="39"/>
  <c r="W30" i="39" s="1"/>
  <c r="G41" i="39"/>
  <c r="T50" i="39"/>
  <c r="R50" i="39"/>
  <c r="V50" i="39" s="1"/>
  <c r="W50" i="39" s="1"/>
  <c r="H56" i="39"/>
  <c r="P47" i="39"/>
  <c r="Q47" i="39" s="1"/>
  <c r="T47" i="39"/>
  <c r="U47" i="39"/>
  <c r="R47" i="39"/>
  <c r="V47" i="39" s="1"/>
  <c r="W47" i="39" s="1"/>
  <c r="L23" i="39"/>
  <c r="L53" i="39"/>
  <c r="U41" i="39"/>
  <c r="R41" i="39"/>
  <c r="T41" i="39"/>
  <c r="P41" i="39"/>
  <c r="Q41" i="39" s="1"/>
  <c r="U51" i="39"/>
  <c r="P51" i="39"/>
  <c r="Q51" i="39" s="1"/>
  <c r="P309" i="37"/>
  <c r="Q309" i="37" s="1"/>
  <c r="Q347" i="37" s="1"/>
  <c r="G116" i="16" s="1"/>
  <c r="L215" i="37"/>
  <c r="M215" i="37" s="1"/>
  <c r="T34" i="39"/>
  <c r="R34" i="39"/>
  <c r="L49" i="39"/>
  <c r="G49" i="39"/>
  <c r="T27" i="39"/>
  <c r="U27" i="39"/>
  <c r="R27" i="39"/>
  <c r="P27" i="39"/>
  <c r="Q27" i="39" s="1"/>
  <c r="U34" i="39"/>
  <c r="R48" i="39"/>
  <c r="T52" i="39"/>
  <c r="R40" i="39"/>
  <c r="T40" i="39"/>
  <c r="P40" i="39"/>
  <c r="Q40" i="39" s="1"/>
  <c r="U40" i="39"/>
  <c r="M49" i="46"/>
  <c r="Z54" i="46"/>
  <c r="L58" i="46"/>
  <c r="Y34" i="46"/>
  <c r="W34" i="46"/>
  <c r="L27" i="46"/>
  <c r="S29" i="46"/>
  <c r="R29" i="46"/>
  <c r="L49" i="46"/>
  <c r="M58" i="46"/>
  <c r="L55" i="46"/>
  <c r="S52" i="46"/>
  <c r="T41" i="46"/>
  <c r="L40" i="46"/>
  <c r="Y42" i="46"/>
  <c r="W42" i="46"/>
  <c r="Z42" i="46"/>
  <c r="T31" i="46"/>
  <c r="M35" i="46"/>
  <c r="M40" i="46"/>
  <c r="T39" i="46"/>
  <c r="R41" i="46"/>
  <c r="S55" i="46"/>
  <c r="R55" i="46"/>
  <c r="M55" i="46"/>
  <c r="S30" i="46"/>
  <c r="R30" i="46"/>
  <c r="S53" i="46"/>
  <c r="Z49" i="46"/>
  <c r="W49" i="46"/>
  <c r="Y49" i="46"/>
  <c r="T32" i="46"/>
  <c r="R57" i="46"/>
  <c r="T57" i="46"/>
  <c r="M31" i="46"/>
  <c r="N31" i="46"/>
  <c r="N26" i="46"/>
  <c r="M47" i="46"/>
  <c r="M26" i="46"/>
  <c r="Y52" i="46"/>
  <c r="N35" i="46"/>
  <c r="S57" i="46"/>
  <c r="N27" i="46"/>
  <c r="R32" i="46"/>
  <c r="Z46" i="46"/>
  <c r="Y46" i="46"/>
  <c r="N44" i="46"/>
  <c r="N47" i="46"/>
  <c r="E60" i="46"/>
  <c r="W46" i="46"/>
  <c r="R31" i="46"/>
  <c r="N36" i="26"/>
  <c r="F36" i="26"/>
  <c r="AO47" i="46"/>
  <c r="L36" i="26"/>
  <c r="T36" i="26"/>
  <c r="I144" i="16"/>
  <c r="J144" i="16" s="1"/>
  <c r="AN47" i="39" s="1"/>
  <c r="AO54" i="46"/>
  <c r="AO35" i="46"/>
  <c r="AO56" i="46"/>
  <c r="AO25" i="46"/>
  <c r="AO55" i="46"/>
  <c r="AO33" i="46"/>
  <c r="AO57" i="46"/>
  <c r="AO48" i="46"/>
  <c r="AO21" i="46"/>
  <c r="AO41" i="46"/>
  <c r="AO59" i="46"/>
  <c r="AO53" i="46"/>
  <c r="AO32" i="46"/>
  <c r="AO22" i="46"/>
  <c r="AO31" i="46"/>
  <c r="AO34" i="46"/>
  <c r="AO52" i="46"/>
  <c r="AO40" i="46"/>
  <c r="AO39" i="46"/>
  <c r="AO38" i="46"/>
  <c r="AO45" i="46"/>
  <c r="AO51" i="46"/>
  <c r="AO28" i="46"/>
  <c r="AO58" i="46"/>
  <c r="AO43" i="46"/>
  <c r="AO23" i="46"/>
  <c r="AO42" i="46"/>
  <c r="AO24" i="46"/>
  <c r="AO27" i="46"/>
  <c r="AO20" i="46"/>
  <c r="AO46" i="46"/>
  <c r="AO30" i="46"/>
  <c r="AO26" i="46"/>
  <c r="AO36" i="46"/>
  <c r="AO37" i="46"/>
  <c r="AO29" i="46"/>
  <c r="AO49" i="46"/>
  <c r="AO50" i="46"/>
  <c r="J36" i="26"/>
  <c r="R36" i="26"/>
  <c r="H36" i="26"/>
  <c r="G59" i="54"/>
  <c r="I117" i="16"/>
  <c r="J117" i="16" s="1"/>
  <c r="I116" i="16"/>
  <c r="G33" i="51"/>
  <c r="G34" i="51" s="1"/>
  <c r="I143" i="16"/>
  <c r="J143" i="16" s="1"/>
  <c r="AM45" i="39" s="1"/>
  <c r="G39" i="49"/>
  <c r="G40" i="49" s="1"/>
  <c r="G40" i="50"/>
  <c r="H26" i="56"/>
  <c r="H38" i="56"/>
  <c r="P63" i="37"/>
  <c r="N76" i="37"/>
  <c r="I76" i="37" s="1"/>
  <c r="J76" i="37" s="1"/>
  <c r="H69" i="37"/>
  <c r="N69" i="37" s="1"/>
  <c r="I69" i="37" s="1"/>
  <c r="J69" i="37" s="1"/>
  <c r="N63" i="37"/>
  <c r="N83" i="37"/>
  <c r="I83" i="37" s="1"/>
  <c r="J83" i="37" s="1"/>
  <c r="N81" i="37"/>
  <c r="I81" i="37" s="1"/>
  <c r="J81" i="37" s="1"/>
  <c r="H66" i="37"/>
  <c r="O76" i="37"/>
  <c r="M98" i="37"/>
  <c r="H77" i="37"/>
  <c r="N77" i="37" s="1"/>
  <c r="I77" i="37" s="1"/>
  <c r="J77" i="37" s="1"/>
  <c r="P88" i="37"/>
  <c r="H88" i="37"/>
  <c r="N108" i="37"/>
  <c r="I108" i="37" s="1"/>
  <c r="J108" i="37" s="1"/>
  <c r="K23" i="16"/>
  <c r="D16" i="26" s="1"/>
  <c r="I13" i="56"/>
  <c r="G38" i="56"/>
  <c r="I38" i="56" s="1"/>
  <c r="F42" i="56"/>
  <c r="G42" i="56" s="1"/>
  <c r="I42" i="56" s="1"/>
  <c r="I18" i="56"/>
  <c r="H23" i="56"/>
  <c r="H20" i="56" s="1"/>
  <c r="I23" i="56"/>
  <c r="L156" i="57"/>
  <c r="E17" i="56" s="1"/>
  <c r="I26" i="56"/>
  <c r="H33" i="56"/>
  <c r="I24" i="56"/>
  <c r="I22" i="56"/>
  <c r="I34" i="56"/>
  <c r="I19" i="56"/>
  <c r="E11" i="56"/>
  <c r="G171" i="16" s="1"/>
  <c r="K171" i="16" s="1"/>
  <c r="Q295" i="57"/>
  <c r="AE37" i="39"/>
  <c r="AE28" i="39"/>
  <c r="J23" i="38" s="1"/>
  <c r="V51" i="39"/>
  <c r="W51" i="39" s="1"/>
  <c r="V31" i="39"/>
  <c r="W31" i="39" s="1"/>
  <c r="V38" i="39"/>
  <c r="W38" i="39" s="1"/>
  <c r="V28" i="39"/>
  <c r="W28" i="39" s="1"/>
  <c r="V44" i="39"/>
  <c r="W44" i="39" s="1"/>
  <c r="N115" i="37"/>
  <c r="H121" i="37"/>
  <c r="H120" i="37"/>
  <c r="H122" i="37"/>
  <c r="V42" i="39"/>
  <c r="W42" i="39" s="1"/>
  <c r="V24" i="39"/>
  <c r="W24" i="39" s="1"/>
  <c r="J56" i="39"/>
  <c r="G143" i="16"/>
  <c r="Q18" i="39"/>
  <c r="I33" i="37"/>
  <c r="J33" i="37" s="1"/>
  <c r="N22" i="37"/>
  <c r="I22" i="37" s="1"/>
  <c r="J22" i="37" s="1"/>
  <c r="O22" i="37"/>
  <c r="N47" i="37"/>
  <c r="I47" i="37" s="1"/>
  <c r="J47" i="37" s="1"/>
  <c r="O47" i="37"/>
  <c r="I53" i="37"/>
  <c r="J53" i="37" s="1"/>
  <c r="I44" i="37"/>
  <c r="J44" i="37" s="1"/>
  <c r="I23" i="37"/>
  <c r="J23" i="37" s="1"/>
  <c r="I27" i="37"/>
  <c r="J27" i="37" s="1"/>
  <c r="G60" i="16"/>
  <c r="K60" i="16" s="1"/>
  <c r="H93" i="37"/>
  <c r="O93" i="37" s="1"/>
  <c r="O68" i="37"/>
  <c r="P87" i="37"/>
  <c r="H87" i="37"/>
  <c r="O87" i="37" s="1"/>
  <c r="K98" i="37"/>
  <c r="G64" i="16" s="1"/>
  <c r="K64" i="16" s="1"/>
  <c r="H94" i="37"/>
  <c r="O94" i="37" s="1"/>
  <c r="H78" i="37"/>
  <c r="N78" i="37" s="1"/>
  <c r="I78" i="37" s="1"/>
  <c r="J78" i="37" s="1"/>
  <c r="H80" i="37"/>
  <c r="O80" i="37" s="1"/>
  <c r="J63" i="37"/>
  <c r="O82" i="37"/>
  <c r="Q98" i="37"/>
  <c r="N82" i="37"/>
  <c r="I82" i="37" s="1"/>
  <c r="J82" i="37" s="1"/>
  <c r="I115" i="37"/>
  <c r="J115" i="37" s="1"/>
  <c r="H118" i="37"/>
  <c r="O118" i="37" s="1"/>
  <c r="L106" i="37"/>
  <c r="H109" i="37"/>
  <c r="N109" i="37" s="1"/>
  <c r="I109" i="37" s="1"/>
  <c r="J109" i="37" s="1"/>
  <c r="G89" i="16"/>
  <c r="K89" i="16" s="1"/>
  <c r="P154" i="37"/>
  <c r="H144" i="37"/>
  <c r="O144" i="37" s="1"/>
  <c r="O143" i="37"/>
  <c r="C309" i="37"/>
  <c r="AC309" i="37" s="1"/>
  <c r="G80" i="16"/>
  <c r="K80" i="16" s="1"/>
  <c r="H150" i="37"/>
  <c r="L154" i="37"/>
  <c r="M154" i="37"/>
  <c r="J134" i="37"/>
  <c r="H148" i="37"/>
  <c r="N148" i="37" s="1"/>
  <c r="K154" i="37"/>
  <c r="H142" i="37"/>
  <c r="N142" i="37" s="1"/>
  <c r="H145" i="37"/>
  <c r="H125" i="37"/>
  <c r="O125" i="37" s="1"/>
  <c r="O119" i="37"/>
  <c r="N119" i="37"/>
  <c r="I119" i="37" s="1"/>
  <c r="J119" i="37" s="1"/>
  <c r="O69" i="37"/>
  <c r="O42" i="37"/>
  <c r="N42" i="37"/>
  <c r="I42" i="37" s="1"/>
  <c r="J42" i="37" s="1"/>
  <c r="O77" i="37"/>
  <c r="O53" i="37"/>
  <c r="H96" i="37"/>
  <c r="P96" i="37"/>
  <c r="O86" i="37"/>
  <c r="N86" i="37"/>
  <c r="I86" i="37" s="1"/>
  <c r="J86" i="37" s="1"/>
  <c r="N45" i="37"/>
  <c r="I45" i="37" s="1"/>
  <c r="J45" i="37" s="1"/>
  <c r="O89" i="37"/>
  <c r="H79" i="37"/>
  <c r="O79" i="37" s="1"/>
  <c r="N41" i="37"/>
  <c r="I41" i="37" s="1"/>
  <c r="J41" i="37" s="1"/>
  <c r="P67" i="37"/>
  <c r="H67" i="37"/>
  <c r="H117" i="37"/>
  <c r="P117" i="37"/>
  <c r="O115" i="37"/>
  <c r="N144" i="37"/>
  <c r="H92" i="37"/>
  <c r="O92" i="37" s="1"/>
  <c r="P95" i="37"/>
  <c r="H116" i="37"/>
  <c r="P116" i="37"/>
  <c r="O66" i="37"/>
  <c r="N66" i="37"/>
  <c r="I66" i="37" s="1"/>
  <c r="J66" i="37" s="1"/>
  <c r="O151" i="37"/>
  <c r="H111" i="37"/>
  <c r="O111" i="37" s="1"/>
  <c r="O43" i="37"/>
  <c r="O33" i="37"/>
  <c r="H97" i="37"/>
  <c r="P97" i="37"/>
  <c r="N31" i="37"/>
  <c r="I31" i="37" s="1"/>
  <c r="J31" i="37" s="1"/>
  <c r="O31" i="37"/>
  <c r="N32" i="37"/>
  <c r="I32" i="37" s="1"/>
  <c r="J32" i="37" s="1"/>
  <c r="O32" i="37"/>
  <c r="H72" i="37"/>
  <c r="O72" i="37" s="1"/>
  <c r="H73" i="37"/>
  <c r="O73" i="37" s="1"/>
  <c r="N43" i="37"/>
  <c r="I43" i="37" s="1"/>
  <c r="J43" i="37" s="1"/>
  <c r="N80" i="37"/>
  <c r="I80" i="37" s="1"/>
  <c r="J80" i="37" s="1"/>
  <c r="H64" i="37"/>
  <c r="O64" i="37" s="1"/>
  <c r="T34" i="46"/>
  <c r="S34" i="46"/>
  <c r="R40" i="46"/>
  <c r="S40" i="46"/>
  <c r="T40" i="46"/>
  <c r="P21" i="46"/>
  <c r="P60" i="46" s="1"/>
  <c r="R53" i="46"/>
  <c r="M44" i="46"/>
  <c r="M45" i="46"/>
  <c r="K21" i="46"/>
  <c r="L21" i="46" s="1"/>
  <c r="T46" i="46"/>
  <c r="S46" i="46"/>
  <c r="R34" i="46"/>
  <c r="M59" i="46"/>
  <c r="N59" i="46"/>
  <c r="L59" i="46"/>
  <c r="R46" i="46"/>
  <c r="N34" i="46"/>
  <c r="L34" i="46"/>
  <c r="M34" i="46"/>
  <c r="R58" i="46"/>
  <c r="S58" i="46"/>
  <c r="T58" i="46"/>
  <c r="W54" i="46"/>
  <c r="W39" i="46"/>
  <c r="Z39" i="46"/>
  <c r="Y39" i="46"/>
  <c r="L45" i="46"/>
  <c r="Y40" i="46"/>
  <c r="Z40" i="46"/>
  <c r="W40" i="46"/>
  <c r="S39" i="46"/>
  <c r="T48" i="46"/>
  <c r="T45" i="46"/>
  <c r="S45" i="46"/>
  <c r="R45" i="46"/>
  <c r="W45" i="46"/>
  <c r="Y45" i="46"/>
  <c r="Z45" i="46"/>
  <c r="T52" i="46"/>
  <c r="W51" i="46"/>
  <c r="Y51" i="46"/>
  <c r="Z51" i="46"/>
  <c r="Y26" i="46"/>
  <c r="Z26" i="46"/>
  <c r="W26" i="46"/>
  <c r="R43" i="46"/>
  <c r="T43" i="46"/>
  <c r="S43" i="46"/>
  <c r="Z43" i="46"/>
  <c r="Y43" i="46"/>
  <c r="W43" i="46"/>
  <c r="AE51" i="39"/>
  <c r="J34" i="38" s="1"/>
  <c r="AE43" i="39"/>
  <c r="AE35" i="39"/>
  <c r="J32" i="38" s="1"/>
  <c r="AE20" i="39"/>
  <c r="J14" i="38" s="1"/>
  <c r="AE18" i="39"/>
  <c r="J12" i="38" s="1"/>
  <c r="AE53" i="39"/>
  <c r="AE49" i="39"/>
  <c r="AE24" i="39"/>
  <c r="J18" i="38" s="1"/>
  <c r="AE26" i="39"/>
  <c r="J21" i="38" s="1"/>
  <c r="AK50" i="39"/>
  <c r="K44" i="38" s="1"/>
  <c r="AK28" i="39"/>
  <c r="K22" i="38" s="1"/>
  <c r="AE22" i="39"/>
  <c r="J16" i="38" s="1"/>
  <c r="AE55" i="39"/>
  <c r="AK27" i="39"/>
  <c r="K21" i="38" s="1"/>
  <c r="AK46" i="39"/>
  <c r="K40" i="38" s="1"/>
  <c r="AE39" i="39"/>
  <c r="AE23" i="39"/>
  <c r="J17" i="38" s="1"/>
  <c r="AK25" i="39"/>
  <c r="K19" i="38" s="1"/>
  <c r="AE41" i="39"/>
  <c r="AK29" i="39"/>
  <c r="K23" i="38" s="1"/>
  <c r="AK49" i="39"/>
  <c r="K43" i="38" s="1"/>
  <c r="AK20" i="39"/>
  <c r="K14" i="38" s="1"/>
  <c r="AE46" i="39"/>
  <c r="AE45" i="39"/>
  <c r="AE42" i="39"/>
  <c r="W50" i="46"/>
  <c r="Z50" i="46"/>
  <c r="Y50" i="46"/>
  <c r="Z38" i="46"/>
  <c r="W38" i="46"/>
  <c r="Y38" i="46"/>
  <c r="L38" i="46"/>
  <c r="M38" i="46"/>
  <c r="N38" i="46"/>
  <c r="M30" i="46"/>
  <c r="L30" i="46"/>
  <c r="N30" i="46"/>
  <c r="I21" i="46"/>
  <c r="T27" i="46"/>
  <c r="S27" i="46"/>
  <c r="R27" i="46"/>
  <c r="M29" i="46"/>
  <c r="N29" i="46"/>
  <c r="L29" i="46"/>
  <c r="S37" i="46"/>
  <c r="R37" i="46"/>
  <c r="T37" i="46"/>
  <c r="G21" i="46"/>
  <c r="V21" i="46"/>
  <c r="V60" i="46" s="1"/>
  <c r="R35" i="46"/>
  <c r="S35" i="46"/>
  <c r="T35" i="46"/>
  <c r="R38" i="46"/>
  <c r="S38" i="46"/>
  <c r="T38" i="46"/>
  <c r="Z35" i="46"/>
  <c r="Y35" i="46"/>
  <c r="W35" i="46"/>
  <c r="Z29" i="46"/>
  <c r="Y29" i="46"/>
  <c r="W29" i="46"/>
  <c r="Z27" i="46"/>
  <c r="Y27" i="46"/>
  <c r="W27" i="46"/>
  <c r="Y57" i="46"/>
  <c r="Z57" i="46"/>
  <c r="W57" i="46"/>
  <c r="N37" i="46"/>
  <c r="L37" i="46"/>
  <c r="M37" i="46"/>
  <c r="M50" i="46"/>
  <c r="N50" i="46"/>
  <c r="L50" i="46"/>
  <c r="O28" i="37"/>
  <c r="N28" i="37"/>
  <c r="I28" i="37" s="1"/>
  <c r="J28" i="37" s="1"/>
  <c r="O50" i="37"/>
  <c r="O38" i="37"/>
  <c r="N46" i="37"/>
  <c r="I46" i="37" s="1"/>
  <c r="J46" i="37" s="1"/>
  <c r="O26" i="37"/>
  <c r="N26" i="37"/>
  <c r="I26" i="37" s="1"/>
  <c r="J26" i="37" s="1"/>
  <c r="N50" i="37"/>
  <c r="I50" i="37" s="1"/>
  <c r="J50" i="37" s="1"/>
  <c r="O24" i="37"/>
  <c r="N24" i="37"/>
  <c r="I24" i="37" s="1"/>
  <c r="J24" i="37" s="1"/>
  <c r="N29" i="37"/>
  <c r="I29" i="37" s="1"/>
  <c r="J29" i="37" s="1"/>
  <c r="O29" i="37"/>
  <c r="O40" i="37"/>
  <c r="N40" i="37"/>
  <c r="I40" i="37" s="1"/>
  <c r="J40" i="37" s="1"/>
  <c r="N38" i="37"/>
  <c r="I38" i="37" s="1"/>
  <c r="J38" i="37" s="1"/>
  <c r="N37" i="37"/>
  <c r="I37" i="37" s="1"/>
  <c r="J37" i="37" s="1"/>
  <c r="O37" i="37"/>
  <c r="O25" i="37"/>
  <c r="N25" i="37"/>
  <c r="I25" i="37" s="1"/>
  <c r="J25" i="37" s="1"/>
  <c r="O46" i="37"/>
  <c r="O30" i="37"/>
  <c r="N30" i="37"/>
  <c r="I30" i="37" s="1"/>
  <c r="J30" i="37" s="1"/>
  <c r="O27" i="37"/>
  <c r="O95" i="37"/>
  <c r="N95" i="37"/>
  <c r="I95" i="37" s="1"/>
  <c r="J95" i="37" s="1"/>
  <c r="H75" i="37"/>
  <c r="P75" i="37"/>
  <c r="N90" i="37"/>
  <c r="I90" i="37" s="1"/>
  <c r="J90" i="37" s="1"/>
  <c r="O90" i="37"/>
  <c r="O65" i="37"/>
  <c r="N65" i="37"/>
  <c r="I65" i="37" s="1"/>
  <c r="J65" i="37" s="1"/>
  <c r="O70" i="37"/>
  <c r="N70" i="37"/>
  <c r="I70" i="37" s="1"/>
  <c r="J70" i="37" s="1"/>
  <c r="O84" i="37"/>
  <c r="N84" i="37"/>
  <c r="I84" i="37" s="1"/>
  <c r="J84" i="37" s="1"/>
  <c r="H71" i="37"/>
  <c r="O85" i="37"/>
  <c r="N85" i="37"/>
  <c r="I85" i="37" s="1"/>
  <c r="J85" i="37" s="1"/>
  <c r="N74" i="37"/>
  <c r="I74" i="37" s="1"/>
  <c r="J74" i="37" s="1"/>
  <c r="O74" i="37"/>
  <c r="H91" i="37"/>
  <c r="H106" i="37"/>
  <c r="P106" i="37"/>
  <c r="H113" i="37"/>
  <c r="H112" i="37"/>
  <c r="H114" i="37"/>
  <c r="O110" i="37"/>
  <c r="N110" i="37"/>
  <c r="I110" i="37" s="1"/>
  <c r="J110" i="37" s="1"/>
  <c r="N123" i="37"/>
  <c r="I123" i="37" s="1"/>
  <c r="J123" i="37" s="1"/>
  <c r="O123" i="37"/>
  <c r="H124" i="37"/>
  <c r="O109" i="37"/>
  <c r="H149" i="37"/>
  <c r="O152" i="37"/>
  <c r="N152" i="37"/>
  <c r="O147" i="37"/>
  <c r="N147" i="37"/>
  <c r="I146" i="37"/>
  <c r="J146" i="37" s="1"/>
  <c r="O146" i="37"/>
  <c r="N150" i="37"/>
  <c r="O150" i="37"/>
  <c r="O141" i="37"/>
  <c r="N141" i="37"/>
  <c r="N153" i="37"/>
  <c r="O140" i="37"/>
  <c r="N140" i="37"/>
  <c r="N146" i="37"/>
  <c r="I19" i="39"/>
  <c r="G46" i="16"/>
  <c r="K46" i="16" s="1"/>
  <c r="G44" i="16"/>
  <c r="K44" i="16" s="1"/>
  <c r="F19" i="39"/>
  <c r="F56" i="39" s="1"/>
  <c r="K164" i="16"/>
  <c r="D30" i="26" s="1"/>
  <c r="D57" i="26" s="1"/>
  <c r="V18" i="39"/>
  <c r="L64" i="37"/>
  <c r="L98" i="37" s="1"/>
  <c r="I64" i="37"/>
  <c r="G137" i="16"/>
  <c r="K137" i="16" s="1"/>
  <c r="W21" i="46"/>
  <c r="Q19" i="39"/>
  <c r="M107" i="37"/>
  <c r="G107" i="37"/>
  <c r="P107" i="37" s="1"/>
  <c r="K107" i="37"/>
  <c r="K126" i="37" s="1"/>
  <c r="Q107" i="37"/>
  <c r="G70" i="16"/>
  <c r="K70" i="16" s="1"/>
  <c r="G36" i="56"/>
  <c r="I36" i="56" s="1"/>
  <c r="F40" i="56"/>
  <c r="H40" i="56" s="1"/>
  <c r="H37" i="56" s="1"/>
  <c r="G35" i="56"/>
  <c r="I35" i="56" s="1"/>
  <c r="AE25" i="39"/>
  <c r="AK54" i="39"/>
  <c r="K48" i="38" s="1"/>
  <c r="AK43" i="39"/>
  <c r="K37" i="38" s="1"/>
  <c r="AK35" i="39"/>
  <c r="K29" i="38" s="1"/>
  <c r="AK47" i="39"/>
  <c r="K41" i="38" s="1"/>
  <c r="AE47" i="39"/>
  <c r="AK53" i="39"/>
  <c r="K47" i="38" s="1"/>
  <c r="AK26" i="39"/>
  <c r="K20" i="38" s="1"/>
  <c r="AK48" i="39"/>
  <c r="K42" i="38" s="1"/>
  <c r="AE40" i="39"/>
  <c r="AE52" i="39"/>
  <c r="J35" i="38" s="1"/>
  <c r="AK41" i="39"/>
  <c r="K35" i="38" s="1"/>
  <c r="AK34" i="39"/>
  <c r="K28" i="38" s="1"/>
  <c r="AE21" i="39"/>
  <c r="J15" i="38" s="1"/>
  <c r="AE54" i="39"/>
  <c r="AK31" i="39"/>
  <c r="K25" i="38" s="1"/>
  <c r="AE34" i="39"/>
  <c r="AE32" i="39"/>
  <c r="J28" i="38" s="1"/>
  <c r="AK30" i="39"/>
  <c r="K24" i="38" s="1"/>
  <c r="AE48" i="39"/>
  <c r="AE38" i="39"/>
  <c r="AK38" i="39"/>
  <c r="K32" i="38" s="1"/>
  <c r="AE50" i="39"/>
  <c r="AE44" i="39"/>
  <c r="AK40" i="39"/>
  <c r="K34" i="38" s="1"/>
  <c r="AK37" i="39"/>
  <c r="K31" i="38" s="1"/>
  <c r="AE29" i="39"/>
  <c r="J24" i="38" s="1"/>
  <c r="AK24" i="39"/>
  <c r="K18" i="38" s="1"/>
  <c r="AK55" i="39"/>
  <c r="K49" i="38" s="1"/>
  <c r="AE31" i="39"/>
  <c r="J27" i="38" s="1"/>
  <c r="AK52" i="39"/>
  <c r="K46" i="38" s="1"/>
  <c r="AE33" i="39"/>
  <c r="J29" i="38" s="1"/>
  <c r="AK36" i="39"/>
  <c r="K30" i="38" s="1"/>
  <c r="AE30" i="39"/>
  <c r="AK44" i="39"/>
  <c r="K38" i="38" s="1"/>
  <c r="AK21" i="39"/>
  <c r="K15" i="38" s="1"/>
  <c r="AK18" i="39"/>
  <c r="K12" i="38" s="1"/>
  <c r="AK39" i="39"/>
  <c r="K33" i="38" s="1"/>
  <c r="AE27" i="39"/>
  <c r="J22" i="38" s="1"/>
  <c r="AE36" i="39"/>
  <c r="J33" i="38" s="1"/>
  <c r="AK23" i="39"/>
  <c r="K17" i="38" s="1"/>
  <c r="AK42" i="39"/>
  <c r="K36" i="38" s="1"/>
  <c r="Y44" i="37"/>
  <c r="Y36" i="37"/>
  <c r="AC36" i="37" s="1"/>
  <c r="Y53" i="37"/>
  <c r="Y23" i="37"/>
  <c r="Y19" i="37"/>
  <c r="AC19" i="37" s="1"/>
  <c r="Y46" i="37"/>
  <c r="Y30" i="37"/>
  <c r="Y54" i="37"/>
  <c r="AC54" i="37" s="1"/>
  <c r="Y37" i="37"/>
  <c r="Y48" i="37"/>
  <c r="AC48" i="37" s="1"/>
  <c r="Y24" i="37"/>
  <c r="Y52" i="37"/>
  <c r="AC52" i="37" s="1"/>
  <c r="Y49" i="37"/>
  <c r="AC49" i="37" s="1"/>
  <c r="Y42" i="37"/>
  <c r="Y28" i="37"/>
  <c r="Y20" i="37"/>
  <c r="AC20" i="37" s="1"/>
  <c r="Y43" i="37"/>
  <c r="Y35" i="37"/>
  <c r="AC35" i="37" s="1"/>
  <c r="Y32" i="37"/>
  <c r="Y34" i="37"/>
  <c r="AC34" i="37" s="1"/>
  <c r="Y33" i="37"/>
  <c r="Y31" i="37"/>
  <c r="Y41" i="37"/>
  <c r="Y29" i="37"/>
  <c r="Y27" i="37"/>
  <c r="Y26" i="37"/>
  <c r="AC26" i="37" s="1"/>
  <c r="Y45" i="37"/>
  <c r="Y39" i="37"/>
  <c r="AC39" i="37" s="1"/>
  <c r="Y47" i="37"/>
  <c r="Y22" i="37"/>
  <c r="Y40" i="37"/>
  <c r="Y51" i="37"/>
  <c r="AC51" i="37" s="1"/>
  <c r="Y38" i="37"/>
  <c r="Y50" i="37"/>
  <c r="Y21" i="37"/>
  <c r="AC21" i="37" s="1"/>
  <c r="Y17" i="37"/>
  <c r="AC17" i="37" s="1"/>
  <c r="Y25" i="37"/>
  <c r="Y18" i="37"/>
  <c r="Y204" i="37"/>
  <c r="Y197" i="37"/>
  <c r="AC197" i="37" s="1"/>
  <c r="Y207" i="37"/>
  <c r="Y191" i="37"/>
  <c r="AC191" i="37" s="1"/>
  <c r="Y208" i="37"/>
  <c r="AC208" i="37" s="1"/>
  <c r="Y206" i="37"/>
  <c r="Y202" i="37"/>
  <c r="AC202" i="37" s="1"/>
  <c r="Y190" i="37"/>
  <c r="AC190" i="37" s="1"/>
  <c r="Y205" i="37"/>
  <c r="AC205" i="37" s="1"/>
  <c r="Y192" i="37"/>
  <c r="Y201" i="37"/>
  <c r="AC201" i="37" s="1"/>
  <c r="Y200" i="37"/>
  <c r="AC200" i="37" s="1"/>
  <c r="Y196" i="37"/>
  <c r="Y199" i="37"/>
  <c r="Y194" i="37"/>
  <c r="Y203" i="37"/>
  <c r="Y198" i="37"/>
  <c r="Y209" i="37"/>
  <c r="AC209" i="37" s="1"/>
  <c r="Y193" i="37"/>
  <c r="AC193" i="37" s="1"/>
  <c r="Y195" i="37"/>
  <c r="AC195" i="37" s="1"/>
  <c r="AK33" i="39"/>
  <c r="K27" i="38" s="1"/>
  <c r="AK45" i="39"/>
  <c r="K39" i="38" s="1"/>
  <c r="AK51" i="39"/>
  <c r="K45" i="38" s="1"/>
  <c r="Y107" i="37"/>
  <c r="Y116" i="37"/>
  <c r="Y120" i="37"/>
  <c r="Y111" i="37"/>
  <c r="Y106" i="37"/>
  <c r="Y125" i="37"/>
  <c r="Y110" i="37"/>
  <c r="Y122" i="37"/>
  <c r="Y119" i="37"/>
  <c r="Y109" i="37"/>
  <c r="Y124" i="37"/>
  <c r="Y113" i="37"/>
  <c r="Y115" i="37"/>
  <c r="Y112" i="37"/>
  <c r="Y118" i="37"/>
  <c r="Y108" i="37"/>
  <c r="AC108" i="37" s="1"/>
  <c r="Y121" i="37"/>
  <c r="Y117" i="37"/>
  <c r="Y123" i="37"/>
  <c r="Y114" i="37"/>
  <c r="AK22" i="39"/>
  <c r="K16" i="38" s="1"/>
  <c r="Y135" i="37"/>
  <c r="AC135" i="37" s="1"/>
  <c r="Y140" i="37"/>
  <c r="Y139" i="37"/>
  <c r="Y153" i="37"/>
  <c r="Y137" i="37"/>
  <c r="AC137" i="37" s="1"/>
  <c r="Y138" i="37"/>
  <c r="AC138" i="37" s="1"/>
  <c r="Y143" i="37"/>
  <c r="Y146" i="37"/>
  <c r="Y136" i="37"/>
  <c r="AC136" i="37" s="1"/>
  <c r="Y151" i="37"/>
  <c r="Y152" i="37"/>
  <c r="Y134" i="37"/>
  <c r="Y142" i="37"/>
  <c r="Y141" i="37"/>
  <c r="Y150" i="37"/>
  <c r="Y145" i="37"/>
  <c r="Y147" i="37"/>
  <c r="Y148" i="37"/>
  <c r="Y149" i="37"/>
  <c r="Y144" i="37"/>
  <c r="AK32" i="39"/>
  <c r="K26" i="38" s="1"/>
  <c r="Y178" i="37"/>
  <c r="AC178" i="37" s="1"/>
  <c r="Y175" i="37"/>
  <c r="AC175" i="37" s="1"/>
  <c r="Y173" i="37"/>
  <c r="Y167" i="37"/>
  <c r="AC167" i="37" s="1"/>
  <c r="Y162" i="37"/>
  <c r="AC162" i="37" s="1"/>
  <c r="Y181" i="37"/>
  <c r="Y164" i="37"/>
  <c r="AC164" i="37" s="1"/>
  <c r="Y172" i="37"/>
  <c r="AC172" i="37" s="1"/>
  <c r="Y169" i="37"/>
  <c r="Y174" i="37"/>
  <c r="AC174" i="37" s="1"/>
  <c r="Y168" i="37"/>
  <c r="AC168" i="37" s="1"/>
  <c r="Y163" i="37"/>
  <c r="Y180" i="37"/>
  <c r="AC180" i="37" s="1"/>
  <c r="Y176" i="37"/>
  <c r="AC176" i="37" s="1"/>
  <c r="Y171" i="37"/>
  <c r="AC171" i="37" s="1"/>
  <c r="Y177" i="37"/>
  <c r="Y170" i="37"/>
  <c r="AC170" i="37" s="1"/>
  <c r="Y165" i="37"/>
  <c r="Y166" i="37"/>
  <c r="AC166" i="37" s="1"/>
  <c r="Y179" i="37"/>
  <c r="AC179" i="37" s="1"/>
  <c r="Y69" i="37"/>
  <c r="Y65" i="37"/>
  <c r="Y92" i="37"/>
  <c r="Y76" i="37"/>
  <c r="AC76" i="37" s="1"/>
  <c r="Y83" i="37"/>
  <c r="AC83" i="37" s="1"/>
  <c r="Y94" i="37"/>
  <c r="Y70" i="37"/>
  <c r="Y85" i="37"/>
  <c r="Y77" i="37"/>
  <c r="Y71" i="37"/>
  <c r="Y81" i="37"/>
  <c r="AC81" i="37" s="1"/>
  <c r="Y63" i="37"/>
  <c r="Y68" i="37"/>
  <c r="Y82" i="37"/>
  <c r="Y90" i="37"/>
  <c r="Y93" i="37"/>
  <c r="Y91" i="37"/>
  <c r="Y97" i="37"/>
  <c r="Y95" i="37"/>
  <c r="Y78" i="37"/>
  <c r="Y66" i="37"/>
  <c r="Y96" i="37"/>
  <c r="Y88" i="37"/>
  <c r="Y86" i="37"/>
  <c r="Y79" i="37"/>
  <c r="Y74" i="37"/>
  <c r="Y84" i="37"/>
  <c r="Y72" i="37"/>
  <c r="Y67" i="37"/>
  <c r="Y89" i="37"/>
  <c r="AC89" i="37" s="1"/>
  <c r="Y87" i="37"/>
  <c r="Y64" i="37"/>
  <c r="Y80" i="37"/>
  <c r="Y73" i="37"/>
  <c r="Y75" i="37"/>
  <c r="H182" i="37" l="1"/>
  <c r="G91" i="16" s="1"/>
  <c r="K91" i="16" s="1"/>
  <c r="N163" i="37"/>
  <c r="AC163" i="37" s="1"/>
  <c r="O163" i="37"/>
  <c r="H210" i="37"/>
  <c r="G101" i="16" s="1"/>
  <c r="K101" i="16" s="1"/>
  <c r="P182" i="37"/>
  <c r="G98" i="16" s="1"/>
  <c r="K98" i="16" s="1"/>
  <c r="O139" i="37"/>
  <c r="N139" i="37"/>
  <c r="AC194" i="37"/>
  <c r="N165" i="37"/>
  <c r="O165" i="37"/>
  <c r="O199" i="37"/>
  <c r="N199" i="37"/>
  <c r="AC192" i="37"/>
  <c r="AC206" i="37"/>
  <c r="O207" i="37"/>
  <c r="N207" i="37"/>
  <c r="O169" i="37"/>
  <c r="N169" i="37"/>
  <c r="AC198" i="37"/>
  <c r="AC196" i="37"/>
  <c r="AC204" i="37"/>
  <c r="O181" i="37"/>
  <c r="N181" i="37"/>
  <c r="O203" i="37"/>
  <c r="N203" i="37"/>
  <c r="N177" i="37"/>
  <c r="AC177" i="37" s="1"/>
  <c r="O177" i="37"/>
  <c r="O173" i="37"/>
  <c r="N173" i="37"/>
  <c r="Y21" i="46"/>
  <c r="Y60" i="46" s="1"/>
  <c r="G139" i="16" s="1"/>
  <c r="K139" i="16" s="1"/>
  <c r="Z21" i="46"/>
  <c r="H17" i="56"/>
  <c r="H16" i="56" s="1"/>
  <c r="G177" i="16"/>
  <c r="K177" i="16" s="1"/>
  <c r="K207" i="16" s="1"/>
  <c r="D32" i="26" s="1"/>
  <c r="AB57" i="26"/>
  <c r="N57" i="26"/>
  <c r="L57" i="26"/>
  <c r="T57" i="26"/>
  <c r="V57" i="26"/>
  <c r="Z57" i="26"/>
  <c r="R57" i="26"/>
  <c r="P57" i="26"/>
  <c r="F57" i="26"/>
  <c r="H57" i="26"/>
  <c r="X57" i="26"/>
  <c r="J57" i="26"/>
  <c r="V16" i="26"/>
  <c r="D43" i="26"/>
  <c r="Z16" i="26"/>
  <c r="X16" i="26"/>
  <c r="R56" i="39"/>
  <c r="V49" i="39"/>
  <c r="W49" i="39" s="1"/>
  <c r="V27" i="39"/>
  <c r="W27" i="39" s="1"/>
  <c r="V52" i="39"/>
  <c r="W52" i="39" s="1"/>
  <c r="V48" i="39"/>
  <c r="W48" i="39" s="1"/>
  <c r="T56" i="39"/>
  <c r="V34" i="39"/>
  <c r="W34" i="39" s="1"/>
  <c r="V35" i="39"/>
  <c r="W35" i="39" s="1"/>
  <c r="P56" i="39"/>
  <c r="V23" i="39"/>
  <c r="W23" i="39" s="1"/>
  <c r="V40" i="39"/>
  <c r="W40" i="39" s="1"/>
  <c r="V41" i="39"/>
  <c r="W41" i="39" s="1"/>
  <c r="G144" i="16"/>
  <c r="Z60" i="46"/>
  <c r="G140" i="16" s="1"/>
  <c r="K140" i="16" s="1"/>
  <c r="W60" i="46"/>
  <c r="G138" i="16" s="1"/>
  <c r="K138" i="16" s="1"/>
  <c r="T21" i="46"/>
  <c r="L60" i="46"/>
  <c r="G127" i="16" s="1"/>
  <c r="K127" i="16" s="1"/>
  <c r="N21" i="46"/>
  <c r="K60" i="46"/>
  <c r="G126" i="16" s="1"/>
  <c r="K126" i="16" s="1"/>
  <c r="G132" i="16"/>
  <c r="R21" i="46"/>
  <c r="S21" i="46"/>
  <c r="T60" i="46"/>
  <c r="G136" i="16" s="1"/>
  <c r="K136" i="16" s="1"/>
  <c r="H21" i="46"/>
  <c r="G60" i="46"/>
  <c r="G123" i="16" s="1"/>
  <c r="K123" i="16" s="1"/>
  <c r="I60" i="46"/>
  <c r="G125" i="16" s="1"/>
  <c r="K125" i="16" s="1"/>
  <c r="G122" i="16"/>
  <c r="K122" i="16" s="1"/>
  <c r="AN32" i="39"/>
  <c r="AN29" i="39"/>
  <c r="AN37" i="39"/>
  <c r="AN46" i="39"/>
  <c r="AN53" i="39"/>
  <c r="K144" i="16"/>
  <c r="AN27" i="39"/>
  <c r="AN30" i="39"/>
  <c r="AN55" i="39"/>
  <c r="AN51" i="39"/>
  <c r="AN50" i="39"/>
  <c r="AN31" i="39"/>
  <c r="AN21" i="39"/>
  <c r="AN38" i="39"/>
  <c r="AN25" i="39"/>
  <c r="AN42" i="39"/>
  <c r="AN44" i="39"/>
  <c r="AM37" i="39"/>
  <c r="AN40" i="39"/>
  <c r="AN34" i="39"/>
  <c r="AM35" i="39"/>
  <c r="AN49" i="39"/>
  <c r="K143" i="16"/>
  <c r="AM39" i="39"/>
  <c r="AM43" i="39"/>
  <c r="AM21" i="39"/>
  <c r="AM28" i="39"/>
  <c r="AN23" i="39"/>
  <c r="AN20" i="39"/>
  <c r="AN24" i="39"/>
  <c r="AN39" i="39"/>
  <c r="N13" i="38"/>
  <c r="H36" i="58"/>
  <c r="AN45" i="39"/>
  <c r="AV45" i="39" s="1"/>
  <c r="M39" i="38" s="1"/>
  <c r="AN54" i="39"/>
  <c r="AN35" i="39"/>
  <c r="AN36" i="39"/>
  <c r="AN52" i="39"/>
  <c r="AN48" i="39"/>
  <c r="AN33" i="39"/>
  <c r="AN22" i="39"/>
  <c r="AN19" i="39"/>
  <c r="AN28" i="39"/>
  <c r="AN43" i="39"/>
  <c r="AN18" i="39"/>
  <c r="AN41" i="39"/>
  <c r="AN26" i="39"/>
  <c r="AM26" i="39"/>
  <c r="AM36" i="39"/>
  <c r="AM41" i="39"/>
  <c r="AM44" i="39"/>
  <c r="G41" i="49"/>
  <c r="I132" i="16"/>
  <c r="J132" i="16" s="1"/>
  <c r="AK47" i="46" s="1"/>
  <c r="AS47" i="46" s="1"/>
  <c r="L39" i="38" s="1"/>
  <c r="AD36" i="26"/>
  <c r="AE36" i="26" s="1"/>
  <c r="H13" i="38"/>
  <c r="H29" i="58"/>
  <c r="AE335" i="37"/>
  <c r="AF335" i="37" s="1"/>
  <c r="AE318" i="37"/>
  <c r="AF318" i="37" s="1"/>
  <c r="AE309" i="37"/>
  <c r="AE319" i="37"/>
  <c r="AF319" i="37" s="1"/>
  <c r="AE342" i="37"/>
  <c r="AF342" i="37" s="1"/>
  <c r="AE316" i="37"/>
  <c r="AF316" i="37" s="1"/>
  <c r="AE323" i="37"/>
  <c r="AF323" i="37" s="1"/>
  <c r="AE334" i="37"/>
  <c r="AF334" i="37" s="1"/>
  <c r="AE329" i="37"/>
  <c r="AF329" i="37" s="1"/>
  <c r="AE336" i="37"/>
  <c r="AF336" i="37" s="1"/>
  <c r="AE320" i="37"/>
  <c r="AF320" i="37" s="1"/>
  <c r="AE341" i="37"/>
  <c r="AF341" i="37" s="1"/>
  <c r="AE324" i="37"/>
  <c r="AF324" i="37" s="1"/>
  <c r="AE332" i="37"/>
  <c r="AF332" i="37" s="1"/>
  <c r="AE321" i="37"/>
  <c r="AF321" i="37" s="1"/>
  <c r="AE330" i="37"/>
  <c r="AF330" i="37" s="1"/>
  <c r="AE311" i="37"/>
  <c r="AF311" i="37" s="1"/>
  <c r="AE325" i="37"/>
  <c r="AF325" i="37" s="1"/>
  <c r="AE313" i="37"/>
  <c r="AF313" i="37" s="1"/>
  <c r="AE310" i="37"/>
  <c r="AF310" i="37" s="1"/>
  <c r="AE308" i="37"/>
  <c r="AF308" i="37" s="1"/>
  <c r="AE322" i="37"/>
  <c r="AF322" i="37" s="1"/>
  <c r="AE327" i="37"/>
  <c r="AF327" i="37" s="1"/>
  <c r="AE338" i="37"/>
  <c r="AF338" i="37" s="1"/>
  <c r="AE315" i="37"/>
  <c r="AF315" i="37" s="1"/>
  <c r="AE340" i="37"/>
  <c r="AF340" i="37" s="1"/>
  <c r="AE345" i="37"/>
  <c r="AF345" i="37" s="1"/>
  <c r="AE314" i="37"/>
  <c r="AF314" i="37" s="1"/>
  <c r="AE333" i="37"/>
  <c r="AF333" i="37" s="1"/>
  <c r="AE331" i="37"/>
  <c r="AF331" i="37" s="1"/>
  <c r="AE326" i="37"/>
  <c r="AF326" i="37" s="1"/>
  <c r="AE328" i="37"/>
  <c r="AF328" i="37" s="1"/>
  <c r="AE344" i="37"/>
  <c r="AF344" i="37" s="1"/>
  <c r="AE337" i="37"/>
  <c r="AF337" i="37" s="1"/>
  <c r="AE317" i="37"/>
  <c r="AF317" i="37" s="1"/>
  <c r="AE312" i="37"/>
  <c r="AF312" i="37" s="1"/>
  <c r="AE339" i="37"/>
  <c r="AF339" i="37" s="1"/>
  <c r="AE343" i="37"/>
  <c r="AF343" i="37" s="1"/>
  <c r="AK325" i="37"/>
  <c r="AL325" i="37" s="1"/>
  <c r="AK313" i="37"/>
  <c r="AL313" i="37" s="1"/>
  <c r="AK323" i="37"/>
  <c r="AL323" i="37" s="1"/>
  <c r="AK320" i="37"/>
  <c r="AL320" i="37" s="1"/>
  <c r="AK317" i="37"/>
  <c r="AL317" i="37" s="1"/>
  <c r="AK344" i="37"/>
  <c r="AL344" i="37" s="1"/>
  <c r="AK336" i="37"/>
  <c r="AL336" i="37" s="1"/>
  <c r="AK337" i="37"/>
  <c r="AL337" i="37" s="1"/>
  <c r="AK324" i="37"/>
  <c r="AL324" i="37" s="1"/>
  <c r="AK311" i="37"/>
  <c r="AL311" i="37" s="1"/>
  <c r="AK319" i="37"/>
  <c r="AL319" i="37" s="1"/>
  <c r="AK340" i="37"/>
  <c r="AL340" i="37" s="1"/>
  <c r="AK310" i="37"/>
  <c r="AL310" i="37" s="1"/>
  <c r="AK334" i="37"/>
  <c r="AL334" i="37" s="1"/>
  <c r="J116" i="16"/>
  <c r="K116" i="16" s="1"/>
  <c r="AK338" i="37"/>
  <c r="AL338" i="37" s="1"/>
  <c r="AK322" i="37"/>
  <c r="AL322" i="37" s="1"/>
  <c r="AK326" i="37"/>
  <c r="AL326" i="37" s="1"/>
  <c r="AK318" i="37"/>
  <c r="AL318" i="37" s="1"/>
  <c r="AK316" i="37"/>
  <c r="AL316" i="37" s="1"/>
  <c r="AK339" i="37"/>
  <c r="AL339" i="37" s="1"/>
  <c r="AK312" i="37"/>
  <c r="AL312" i="37" s="1"/>
  <c r="AK343" i="37"/>
  <c r="AL343" i="37" s="1"/>
  <c r="AK331" i="37"/>
  <c r="AL331" i="37" s="1"/>
  <c r="AK330" i="37"/>
  <c r="AL330" i="37" s="1"/>
  <c r="AK332" i="37"/>
  <c r="AL332" i="37" s="1"/>
  <c r="AK345" i="37"/>
  <c r="AL345" i="37" s="1"/>
  <c r="AK335" i="37"/>
  <c r="AL335" i="37" s="1"/>
  <c r="AK315" i="37"/>
  <c r="AL315" i="37" s="1"/>
  <c r="AK329" i="37"/>
  <c r="AL329" i="37" s="1"/>
  <c r="AK321" i="37"/>
  <c r="AL321" i="37" s="1"/>
  <c r="AK328" i="37"/>
  <c r="AL328" i="37" s="1"/>
  <c r="AK309" i="37"/>
  <c r="AL309" i="37" s="1"/>
  <c r="AK314" i="37"/>
  <c r="AL314" i="37" s="1"/>
  <c r="AK342" i="37"/>
  <c r="AL342" i="37" s="1"/>
  <c r="AK327" i="37"/>
  <c r="AL327" i="37" s="1"/>
  <c r="AK341" i="37"/>
  <c r="AL341" i="37" s="1"/>
  <c r="AK308" i="37"/>
  <c r="AL308" i="37" s="1"/>
  <c r="AK333" i="37"/>
  <c r="AL333" i="37" s="1"/>
  <c r="AM42" i="39"/>
  <c r="AM50" i="39"/>
  <c r="AM19" i="39"/>
  <c r="AM49" i="39"/>
  <c r="AM38" i="39"/>
  <c r="AV38" i="39" s="1"/>
  <c r="M32" i="38" s="1"/>
  <c r="AM53" i="39"/>
  <c r="AM30" i="39"/>
  <c r="AM46" i="39"/>
  <c r="AM29" i="39"/>
  <c r="AV29" i="39" s="1"/>
  <c r="M23" i="38" s="1"/>
  <c r="AM55" i="39"/>
  <c r="AM40" i="39"/>
  <c r="AM18" i="39"/>
  <c r="AM25" i="39"/>
  <c r="AM22" i="39"/>
  <c r="AM23" i="39"/>
  <c r="AM34" i="39"/>
  <c r="AM27" i="39"/>
  <c r="AM33" i="39"/>
  <c r="AM48" i="39"/>
  <c r="AM31" i="39"/>
  <c r="AM20" i="39"/>
  <c r="AM32" i="39"/>
  <c r="AM54" i="39"/>
  <c r="AM51" i="39"/>
  <c r="AM24" i="39"/>
  <c r="AM52" i="39"/>
  <c r="AM47" i="39"/>
  <c r="AV47" i="39" s="1"/>
  <c r="M41" i="38" s="1"/>
  <c r="H12" i="38"/>
  <c r="H42" i="56"/>
  <c r="N93" i="37"/>
  <c r="I93" i="37" s="1"/>
  <c r="J93" i="37" s="1"/>
  <c r="AC69" i="37"/>
  <c r="O88" i="37"/>
  <c r="N88" i="37"/>
  <c r="I88" i="37" s="1"/>
  <c r="J88" i="37" s="1"/>
  <c r="N72" i="37"/>
  <c r="I72" i="37" s="1"/>
  <c r="J72" i="37" s="1"/>
  <c r="P98" i="37"/>
  <c r="G68" i="16" s="1"/>
  <c r="K68" i="16" s="1"/>
  <c r="AC84" i="37"/>
  <c r="N92" i="37"/>
  <c r="I92" i="37" s="1"/>
  <c r="J92" i="37" s="1"/>
  <c r="AC77" i="37"/>
  <c r="L16" i="26"/>
  <c r="Q56" i="39"/>
  <c r="G150" i="16"/>
  <c r="K150" i="16" s="1"/>
  <c r="I17" i="56"/>
  <c r="I16" i="56" s="1"/>
  <c r="I20" i="56"/>
  <c r="H11" i="56"/>
  <c r="H10" i="56" s="1"/>
  <c r="H51" i="56"/>
  <c r="H52" i="56" s="1"/>
  <c r="I11" i="56"/>
  <c r="I10" i="56" s="1"/>
  <c r="Q292" i="57"/>
  <c r="G147" i="16"/>
  <c r="K147" i="16" s="1"/>
  <c r="AC119" i="37"/>
  <c r="O122" i="37"/>
  <c r="N122" i="37"/>
  <c r="I122" i="37" s="1"/>
  <c r="J122" i="37" s="1"/>
  <c r="O120" i="37"/>
  <c r="N120" i="37"/>
  <c r="I120" i="37" s="1"/>
  <c r="J120" i="37" s="1"/>
  <c r="O121" i="37"/>
  <c r="N121" i="37"/>
  <c r="I121" i="37" s="1"/>
  <c r="J121" i="37" s="1"/>
  <c r="G47" i="16"/>
  <c r="K47" i="16" s="1"/>
  <c r="I56" i="39"/>
  <c r="N12" i="38"/>
  <c r="AK19" i="39"/>
  <c r="K13" i="38" s="1"/>
  <c r="K50" i="38" s="1"/>
  <c r="W18" i="39"/>
  <c r="G145" i="16"/>
  <c r="K145" i="16" s="1"/>
  <c r="AC30" i="37"/>
  <c r="AC23" i="37"/>
  <c r="AC28" i="37"/>
  <c r="AC45" i="37"/>
  <c r="AC47" i="37"/>
  <c r="AC41" i="37"/>
  <c r="AC44" i="37"/>
  <c r="AC37" i="37"/>
  <c r="AC32" i="37"/>
  <c r="AC27" i="37"/>
  <c r="AC53" i="37"/>
  <c r="AC31" i="37"/>
  <c r="AC22" i="37"/>
  <c r="G69" i="16"/>
  <c r="K69" i="16" s="1"/>
  <c r="N87" i="37"/>
  <c r="I87" i="37" s="1"/>
  <c r="J87" i="37" s="1"/>
  <c r="O78" i="37"/>
  <c r="AC85" i="37"/>
  <c r="N94" i="37"/>
  <c r="I94" i="37" s="1"/>
  <c r="J94" i="37" s="1"/>
  <c r="H98" i="37"/>
  <c r="G61" i="16" s="1"/>
  <c r="K61" i="16" s="1"/>
  <c r="AC82" i="37"/>
  <c r="AC70" i="37"/>
  <c r="AC94" i="37"/>
  <c r="G65" i="16"/>
  <c r="K65" i="16" s="1"/>
  <c r="AC68" i="37"/>
  <c r="AC63" i="37"/>
  <c r="C347" i="37"/>
  <c r="C215" i="37" s="1"/>
  <c r="C18" i="37"/>
  <c r="E18" i="37" s="1"/>
  <c r="I309" i="37"/>
  <c r="I347" i="37" s="1"/>
  <c r="Q126" i="37"/>
  <c r="G79" i="16" s="1"/>
  <c r="K79" i="16" s="1"/>
  <c r="AC110" i="37"/>
  <c r="P126" i="37"/>
  <c r="G78" i="16" s="1"/>
  <c r="K78" i="16" s="1"/>
  <c r="M126" i="37"/>
  <c r="N118" i="37"/>
  <c r="I118" i="37" s="1"/>
  <c r="J118" i="37" s="1"/>
  <c r="N125" i="37"/>
  <c r="I125" i="37" s="1"/>
  <c r="J125" i="37" s="1"/>
  <c r="AC115" i="37"/>
  <c r="N145" i="37"/>
  <c r="O145" i="37"/>
  <c r="AC145" i="37" s="1"/>
  <c r="J154" i="37"/>
  <c r="G85" i="16"/>
  <c r="K85" i="16" s="1"/>
  <c r="AC150" i="37"/>
  <c r="H154" i="37"/>
  <c r="I154" i="37"/>
  <c r="AC141" i="37"/>
  <c r="O142" i="37"/>
  <c r="AC134" i="37"/>
  <c r="G84" i="16"/>
  <c r="K84" i="16" s="1"/>
  <c r="O148" i="37"/>
  <c r="AC148" i="37" s="1"/>
  <c r="AC147" i="37"/>
  <c r="AC142" i="37"/>
  <c r="G88" i="16"/>
  <c r="K88" i="16" s="1"/>
  <c r="AC143" i="37"/>
  <c r="AC152" i="37"/>
  <c r="AC151" i="37"/>
  <c r="N116" i="37"/>
  <c r="O116" i="37"/>
  <c r="AC65" i="37"/>
  <c r="AC78" i="37"/>
  <c r="AC95" i="37"/>
  <c r="N73" i="37"/>
  <c r="I73" i="37" s="1"/>
  <c r="J73" i="37" s="1"/>
  <c r="O117" i="37"/>
  <c r="N117" i="37"/>
  <c r="I117" i="37" s="1"/>
  <c r="J117" i="37" s="1"/>
  <c r="AC74" i="37"/>
  <c r="AC86" i="37"/>
  <c r="O96" i="37"/>
  <c r="N96" i="37"/>
  <c r="I96" i="37" s="1"/>
  <c r="J96" i="37" s="1"/>
  <c r="AC92" i="37"/>
  <c r="AC43" i="37"/>
  <c r="AC66" i="37"/>
  <c r="AC50" i="37"/>
  <c r="AC38" i="37"/>
  <c r="N64" i="37"/>
  <c r="N111" i="37"/>
  <c r="O67" i="37"/>
  <c r="N67" i="37"/>
  <c r="N79" i="37"/>
  <c r="AC33" i="37"/>
  <c r="AC24" i="37"/>
  <c r="AC144" i="37"/>
  <c r="O97" i="37"/>
  <c r="N97" i="37"/>
  <c r="AC42" i="37"/>
  <c r="AC40" i="37"/>
  <c r="AC90" i="37"/>
  <c r="AC80" i="37"/>
  <c r="M21" i="46"/>
  <c r="J19" i="38"/>
  <c r="J20" i="38"/>
  <c r="AC123" i="37"/>
  <c r="J26" i="38"/>
  <c r="J25" i="38"/>
  <c r="J31" i="38"/>
  <c r="J30" i="38"/>
  <c r="H30" i="26"/>
  <c r="I33" i="56"/>
  <c r="AC29" i="37"/>
  <c r="AC46" i="37"/>
  <c r="AC25" i="37"/>
  <c r="O75" i="37"/>
  <c r="N75" i="37"/>
  <c r="AC93" i="37"/>
  <c r="AC73" i="37"/>
  <c r="N91" i="37"/>
  <c r="O91" i="37"/>
  <c r="N71" i="37"/>
  <c r="I71" i="37" s="1"/>
  <c r="J71" i="37" s="1"/>
  <c r="O71" i="37"/>
  <c r="O98" i="37" s="1"/>
  <c r="G67" i="16" s="1"/>
  <c r="K67" i="16" s="1"/>
  <c r="H107" i="37"/>
  <c r="O107" i="37" s="1"/>
  <c r="O114" i="37"/>
  <c r="N114" i="37"/>
  <c r="N112" i="37"/>
  <c r="I112" i="37" s="1"/>
  <c r="J112" i="37" s="1"/>
  <c r="O112" i="37"/>
  <c r="AC109" i="37"/>
  <c r="N113" i="37"/>
  <c r="O113" i="37"/>
  <c r="O124" i="37"/>
  <c r="N124" i="37"/>
  <c r="O106" i="37"/>
  <c r="N106" i="37"/>
  <c r="AC153" i="37"/>
  <c r="AC146" i="37"/>
  <c r="AC140" i="37"/>
  <c r="N149" i="37"/>
  <c r="O149" i="37"/>
  <c r="G19" i="39"/>
  <c r="G56" i="39" s="1"/>
  <c r="G25" i="16"/>
  <c r="K25" i="16" s="1"/>
  <c r="L19" i="39"/>
  <c r="G74" i="16"/>
  <c r="K74" i="16" s="1"/>
  <c r="L107" i="37"/>
  <c r="L126" i="37" s="1"/>
  <c r="J64" i="37"/>
  <c r="G39" i="56"/>
  <c r="I39" i="56" s="1"/>
  <c r="G43" i="56"/>
  <c r="I43" i="56" s="1"/>
  <c r="F44" i="56"/>
  <c r="I51" i="56" s="1"/>
  <c r="G40" i="56"/>
  <c r="I40" i="56" s="1"/>
  <c r="AC199" i="37" l="1"/>
  <c r="AC139" i="37"/>
  <c r="AC173" i="37"/>
  <c r="AC203" i="37"/>
  <c r="H126" i="37"/>
  <c r="G71" i="16" s="1"/>
  <c r="K71" i="16" s="1"/>
  <c r="AC169" i="37"/>
  <c r="O154" i="37"/>
  <c r="AC207" i="37"/>
  <c r="N154" i="37"/>
  <c r="G86" i="16" s="1"/>
  <c r="K86" i="16" s="1"/>
  <c r="AC181" i="37"/>
  <c r="N210" i="37"/>
  <c r="G106" i="16" s="1"/>
  <c r="K106" i="16" s="1"/>
  <c r="O182" i="37"/>
  <c r="G97" i="16" s="1"/>
  <c r="K97" i="16" s="1"/>
  <c r="O210" i="37"/>
  <c r="G107" i="16" s="1"/>
  <c r="K107" i="16" s="1"/>
  <c r="AC165" i="37"/>
  <c r="N182" i="37"/>
  <c r="G96" i="16" s="1"/>
  <c r="K96" i="16" s="1"/>
  <c r="D59" i="26"/>
  <c r="R32" i="26"/>
  <c r="P32" i="26"/>
  <c r="V43" i="26"/>
  <c r="R43" i="26"/>
  <c r="J43" i="26"/>
  <c r="N43" i="26"/>
  <c r="H43" i="26"/>
  <c r="AB43" i="26"/>
  <c r="L43" i="26"/>
  <c r="Z43" i="26"/>
  <c r="T43" i="26"/>
  <c r="F43" i="26"/>
  <c r="X43" i="26"/>
  <c r="P43" i="26"/>
  <c r="AD57" i="26"/>
  <c r="AE57" i="26" s="1"/>
  <c r="G148" i="16"/>
  <c r="K148" i="16" s="1"/>
  <c r="V56" i="39"/>
  <c r="G151" i="16" s="1"/>
  <c r="K151" i="16" s="1"/>
  <c r="W56" i="39"/>
  <c r="G152" i="16" s="1"/>
  <c r="K152" i="16" s="1"/>
  <c r="AV30" i="39"/>
  <c r="M24" i="38" s="1"/>
  <c r="AV51" i="39"/>
  <c r="M45" i="38" s="1"/>
  <c r="S60" i="46"/>
  <c r="G135" i="16" s="1"/>
  <c r="K135" i="16" s="1"/>
  <c r="N60" i="46"/>
  <c r="G129" i="16" s="1"/>
  <c r="K129" i="16" s="1"/>
  <c r="G146" i="16"/>
  <c r="K146" i="16" s="1"/>
  <c r="M60" i="46"/>
  <c r="G128" i="16" s="1"/>
  <c r="K128" i="16" s="1"/>
  <c r="H60" i="46"/>
  <c r="G124" i="16" s="1"/>
  <c r="K124" i="16" s="1"/>
  <c r="R60" i="46"/>
  <c r="G134" i="16" s="1"/>
  <c r="K134" i="16" s="1"/>
  <c r="AV53" i="39"/>
  <c r="M47" i="38" s="1"/>
  <c r="AV32" i="39"/>
  <c r="M26" i="38" s="1"/>
  <c r="AV37" i="39"/>
  <c r="M31" i="38" s="1"/>
  <c r="AV31" i="39"/>
  <c r="M25" i="38" s="1"/>
  <c r="AV55" i="39"/>
  <c r="M49" i="38" s="1"/>
  <c r="AV40" i="39"/>
  <c r="M34" i="38" s="1"/>
  <c r="AV46" i="39"/>
  <c r="M40" i="38" s="1"/>
  <c r="AV27" i="39"/>
  <c r="M21" i="38" s="1"/>
  <c r="AV35" i="39"/>
  <c r="M29" i="38" s="1"/>
  <c r="AV50" i="39"/>
  <c r="M44" i="38" s="1"/>
  <c r="AV25" i="39"/>
  <c r="M19" i="38" s="1"/>
  <c r="AV21" i="39"/>
  <c r="M15" i="38" s="1"/>
  <c r="AV44" i="39"/>
  <c r="M38" i="38" s="1"/>
  <c r="AV34" i="39"/>
  <c r="M28" i="38" s="1"/>
  <c r="AV42" i="39"/>
  <c r="M36" i="38" s="1"/>
  <c r="N50" i="38"/>
  <c r="AV24" i="39"/>
  <c r="M18" i="38" s="1"/>
  <c r="AV43" i="39"/>
  <c r="M37" i="38" s="1"/>
  <c r="AV49" i="39"/>
  <c r="M43" i="38" s="1"/>
  <c r="AV39" i="39"/>
  <c r="M33" i="38" s="1"/>
  <c r="AV20" i="39"/>
  <c r="M14" i="38" s="1"/>
  <c r="AV23" i="39"/>
  <c r="M17" i="38" s="1"/>
  <c r="H50" i="38"/>
  <c r="AK50" i="46"/>
  <c r="AS50" i="46" s="1"/>
  <c r="L42" i="38" s="1"/>
  <c r="AV28" i="39"/>
  <c r="M22" i="38" s="1"/>
  <c r="AV52" i="39"/>
  <c r="M46" i="38" s="1"/>
  <c r="AV54" i="39"/>
  <c r="M48" i="38" s="1"/>
  <c r="AV36" i="39"/>
  <c r="M30" i="38" s="1"/>
  <c r="AV26" i="39"/>
  <c r="M20" i="38" s="1"/>
  <c r="I12" i="38"/>
  <c r="I30" i="38"/>
  <c r="I44" i="38"/>
  <c r="I18" i="38"/>
  <c r="AV48" i="39"/>
  <c r="M42" i="38" s="1"/>
  <c r="AV41" i="39"/>
  <c r="M35" i="38" s="1"/>
  <c r="AV33" i="39"/>
  <c r="M27" i="38" s="1"/>
  <c r="AV22" i="39"/>
  <c r="M16" i="38" s="1"/>
  <c r="AK20" i="46"/>
  <c r="AS20" i="46" s="1"/>
  <c r="L12" i="38" s="1"/>
  <c r="AK41" i="46"/>
  <c r="AS41" i="46" s="1"/>
  <c r="L33" i="38" s="1"/>
  <c r="AK29" i="46"/>
  <c r="AS29" i="46" s="1"/>
  <c r="L21" i="38" s="1"/>
  <c r="AK54" i="46"/>
  <c r="AS54" i="46" s="1"/>
  <c r="L46" i="38" s="1"/>
  <c r="AK55" i="46"/>
  <c r="AS55" i="46" s="1"/>
  <c r="L47" i="38" s="1"/>
  <c r="AK27" i="46"/>
  <c r="AS27" i="46" s="1"/>
  <c r="L19" i="38" s="1"/>
  <c r="AK46" i="46"/>
  <c r="AS46" i="46" s="1"/>
  <c r="L38" i="38" s="1"/>
  <c r="AK59" i="46"/>
  <c r="AS59" i="46" s="1"/>
  <c r="AK30" i="46"/>
  <c r="AS30" i="46" s="1"/>
  <c r="L22" i="38" s="1"/>
  <c r="AK53" i="46"/>
  <c r="AS53" i="46" s="1"/>
  <c r="L45" i="38" s="1"/>
  <c r="AK45" i="46"/>
  <c r="AS45" i="46" s="1"/>
  <c r="L37" i="38" s="1"/>
  <c r="AK32" i="46"/>
  <c r="AS32" i="46" s="1"/>
  <c r="L24" i="38" s="1"/>
  <c r="AK31" i="46"/>
  <c r="AS31" i="46" s="1"/>
  <c r="L23" i="38" s="1"/>
  <c r="AK42" i="46"/>
  <c r="AS42" i="46" s="1"/>
  <c r="L34" i="38" s="1"/>
  <c r="AK34" i="46"/>
  <c r="AS34" i="46" s="1"/>
  <c r="L26" i="38" s="1"/>
  <c r="AK49" i="46"/>
  <c r="AS49" i="46" s="1"/>
  <c r="L41" i="38" s="1"/>
  <c r="AK37" i="46"/>
  <c r="AS37" i="46" s="1"/>
  <c r="L29" i="38" s="1"/>
  <c r="AK52" i="46"/>
  <c r="AS52" i="46" s="1"/>
  <c r="L44" i="38" s="1"/>
  <c r="AK23" i="46"/>
  <c r="AS23" i="46" s="1"/>
  <c r="L15" i="38" s="1"/>
  <c r="AK22" i="46"/>
  <c r="AS22" i="46" s="1"/>
  <c r="L14" i="38" s="1"/>
  <c r="AK57" i="46"/>
  <c r="AS57" i="46" s="1"/>
  <c r="L49" i="38" s="1"/>
  <c r="AK43" i="46"/>
  <c r="AS43" i="46" s="1"/>
  <c r="L35" i="38" s="1"/>
  <c r="AK40" i="46"/>
  <c r="AS40" i="46" s="1"/>
  <c r="L32" i="38" s="1"/>
  <c r="AK38" i="46"/>
  <c r="AS38" i="46" s="1"/>
  <c r="L30" i="38" s="1"/>
  <c r="AK48" i="46"/>
  <c r="AS48" i="46" s="1"/>
  <c r="L40" i="38" s="1"/>
  <c r="AK26" i="46"/>
  <c r="AS26" i="46" s="1"/>
  <c r="L18" i="38" s="1"/>
  <c r="AK44" i="46"/>
  <c r="AS44" i="46" s="1"/>
  <c r="L36" i="38" s="1"/>
  <c r="AK58" i="46"/>
  <c r="AS58" i="46" s="1"/>
  <c r="AK21" i="46"/>
  <c r="AS21" i="46" s="1"/>
  <c r="L13" i="38" s="1"/>
  <c r="AK24" i="46"/>
  <c r="AS24" i="46" s="1"/>
  <c r="L16" i="38" s="1"/>
  <c r="AK56" i="46"/>
  <c r="AS56" i="46" s="1"/>
  <c r="L48" i="38" s="1"/>
  <c r="AK33" i="46"/>
  <c r="AS33" i="46" s="1"/>
  <c r="L25" i="38" s="1"/>
  <c r="AK28" i="46"/>
  <c r="AS28" i="46" s="1"/>
  <c r="L20" i="38" s="1"/>
  <c r="K132" i="16"/>
  <c r="AK35" i="46"/>
  <c r="AS35" i="46" s="1"/>
  <c r="L27" i="38" s="1"/>
  <c r="AK39" i="46"/>
  <c r="AS39" i="46" s="1"/>
  <c r="L31" i="38" s="1"/>
  <c r="AK36" i="46"/>
  <c r="AS36" i="46" s="1"/>
  <c r="L28" i="38" s="1"/>
  <c r="AK25" i="46"/>
  <c r="AS25" i="46" s="1"/>
  <c r="L17" i="38" s="1"/>
  <c r="AK51" i="46"/>
  <c r="AS51" i="46" s="1"/>
  <c r="L43" i="38" s="1"/>
  <c r="T16" i="26"/>
  <c r="P16" i="26"/>
  <c r="J16" i="26"/>
  <c r="I43" i="38"/>
  <c r="I25" i="38"/>
  <c r="I49" i="38"/>
  <c r="I14" i="38"/>
  <c r="I29" i="38"/>
  <c r="I47" i="38"/>
  <c r="I15" i="38"/>
  <c r="I38" i="38"/>
  <c r="I39" i="38"/>
  <c r="P39" i="38" s="1"/>
  <c r="I31" i="38"/>
  <c r="I34" i="38"/>
  <c r="I48" i="38"/>
  <c r="I26" i="38"/>
  <c r="I32" i="38"/>
  <c r="F16" i="26"/>
  <c r="R16" i="26"/>
  <c r="AB16" i="26"/>
  <c r="H16" i="26"/>
  <c r="N16" i="26"/>
  <c r="I33" i="38"/>
  <c r="AC72" i="37"/>
  <c r="I21" i="38" s="1"/>
  <c r="AC88" i="37"/>
  <c r="I37" i="38" s="1"/>
  <c r="I23" i="38"/>
  <c r="I22" i="38"/>
  <c r="I42" i="38"/>
  <c r="AV18" i="39"/>
  <c r="M12" i="38" s="1"/>
  <c r="O126" i="37"/>
  <c r="G77" i="16" s="1"/>
  <c r="K77" i="16" s="1"/>
  <c r="N107" i="37"/>
  <c r="I107" i="37" s="1"/>
  <c r="AC120" i="37"/>
  <c r="AC122" i="37"/>
  <c r="AC121" i="37"/>
  <c r="G45" i="16"/>
  <c r="K45" i="16" s="1"/>
  <c r="L56" i="39"/>
  <c r="I27" i="38"/>
  <c r="I17" i="38"/>
  <c r="I19" i="38"/>
  <c r="I79" i="37"/>
  <c r="J79" i="37" s="1"/>
  <c r="I91" i="37"/>
  <c r="J91" i="37" s="1"/>
  <c r="I67" i="37"/>
  <c r="N98" i="37"/>
  <c r="G66" i="16" s="1"/>
  <c r="K66" i="16" s="1"/>
  <c r="G115" i="16"/>
  <c r="K115" i="16" s="1"/>
  <c r="AC96" i="37"/>
  <c r="I45" i="38" s="1"/>
  <c r="I97" i="37"/>
  <c r="J97" i="37" s="1"/>
  <c r="AC87" i="37"/>
  <c r="I36" i="38" s="1"/>
  <c r="I75" i="37"/>
  <c r="J75" i="37" s="1"/>
  <c r="AF309" i="37"/>
  <c r="I124" i="37"/>
  <c r="J124" i="37" s="1"/>
  <c r="I113" i="37"/>
  <c r="J113" i="37" s="1"/>
  <c r="I116" i="37"/>
  <c r="J116" i="37" s="1"/>
  <c r="I111" i="37"/>
  <c r="J111" i="37" s="1"/>
  <c r="N126" i="37"/>
  <c r="G76" i="16" s="1"/>
  <c r="K76" i="16" s="1"/>
  <c r="I106" i="37"/>
  <c r="G75" i="16"/>
  <c r="K75" i="16" s="1"/>
  <c r="AC125" i="37"/>
  <c r="AC118" i="37"/>
  <c r="I114" i="37"/>
  <c r="J114" i="37" s="1"/>
  <c r="AC117" i="37"/>
  <c r="G87" i="16"/>
  <c r="K87" i="16" s="1"/>
  <c r="G82" i="16"/>
  <c r="K82" i="16" s="1"/>
  <c r="G83" i="16"/>
  <c r="K83" i="16" s="1"/>
  <c r="G81" i="16"/>
  <c r="K81" i="16" s="1"/>
  <c r="AC149" i="37"/>
  <c r="I35" i="38"/>
  <c r="I41" i="38"/>
  <c r="AC112" i="37"/>
  <c r="AC71" i="37"/>
  <c r="I20" i="38" s="1"/>
  <c r="N30" i="26"/>
  <c r="V30" i="26"/>
  <c r="L30" i="26"/>
  <c r="R30" i="26"/>
  <c r="P30" i="26"/>
  <c r="AB30" i="26"/>
  <c r="Z30" i="26"/>
  <c r="J30" i="26"/>
  <c r="X30" i="26"/>
  <c r="T30" i="26"/>
  <c r="F30" i="26"/>
  <c r="G44" i="56"/>
  <c r="I44" i="56" s="1"/>
  <c r="I41" i="56" s="1"/>
  <c r="H44" i="56"/>
  <c r="G43" i="16"/>
  <c r="K43" i="16" s="1"/>
  <c r="AE19" i="39"/>
  <c r="J13" i="38" s="1"/>
  <c r="J50" i="38" s="1"/>
  <c r="AC64" i="37"/>
  <c r="J107" i="37"/>
  <c r="AV19" i="39"/>
  <c r="H18" i="37"/>
  <c r="K18" i="37"/>
  <c r="Q18" i="37"/>
  <c r="Q55" i="37" s="1"/>
  <c r="G59" i="16" s="1"/>
  <c r="K59" i="16" s="1"/>
  <c r="M18" i="37"/>
  <c r="E55" i="37"/>
  <c r="G50" i="16" s="1"/>
  <c r="K50" i="16" s="1"/>
  <c r="I215" i="37"/>
  <c r="C304" i="37"/>
  <c r="G111" i="16" s="1"/>
  <c r="K111" i="16" s="1"/>
  <c r="AC215" i="37"/>
  <c r="I52" i="56"/>
  <c r="I37" i="56"/>
  <c r="T59" i="26" l="1"/>
  <c r="F59" i="26"/>
  <c r="N59" i="26"/>
  <c r="H59" i="26"/>
  <c r="R59" i="26"/>
  <c r="P59" i="26"/>
  <c r="AD43" i="26"/>
  <c r="AE43" i="26" s="1"/>
  <c r="K130" i="16"/>
  <c r="D24" i="26" s="1"/>
  <c r="K141" i="16"/>
  <c r="K153" i="16"/>
  <c r="P21" i="38"/>
  <c r="P33" i="38"/>
  <c r="P26" i="38"/>
  <c r="AD16" i="26"/>
  <c r="AE16" i="26" s="1"/>
  <c r="P42" i="38"/>
  <c r="P30" i="38"/>
  <c r="P18" i="38"/>
  <c r="P44" i="38"/>
  <c r="P47" i="38"/>
  <c r="P49" i="38"/>
  <c r="P12" i="38"/>
  <c r="P45" i="38"/>
  <c r="P38" i="38"/>
  <c r="P34" i="38"/>
  <c r="P41" i="38"/>
  <c r="P22" i="38"/>
  <c r="P37" i="38"/>
  <c r="P19" i="38"/>
  <c r="P43" i="38"/>
  <c r="P23" i="38"/>
  <c r="P14" i="38"/>
  <c r="P35" i="38"/>
  <c r="P15" i="38"/>
  <c r="P32" i="38"/>
  <c r="P36" i="38"/>
  <c r="P29" i="38"/>
  <c r="P25" i="38"/>
  <c r="P48" i="38"/>
  <c r="P31" i="38"/>
  <c r="P27" i="38"/>
  <c r="P17" i="38"/>
  <c r="P20" i="38"/>
  <c r="L50" i="38"/>
  <c r="AC91" i="37"/>
  <c r="I40" i="38" s="1"/>
  <c r="P40" i="38" s="1"/>
  <c r="G26" i="16"/>
  <c r="K26" i="16" s="1"/>
  <c r="K41" i="16" s="1"/>
  <c r="K48" i="16"/>
  <c r="D20" i="26" s="1"/>
  <c r="AC75" i="37"/>
  <c r="I24" i="38" s="1"/>
  <c r="P24" i="38" s="1"/>
  <c r="J67" i="37"/>
  <c r="J98" i="37" s="1"/>
  <c r="G63" i="16" s="1"/>
  <c r="K63" i="16" s="1"/>
  <c r="I98" i="37"/>
  <c r="G62" i="16" s="1"/>
  <c r="K62" i="16" s="1"/>
  <c r="AC79" i="37"/>
  <c r="I28" i="38" s="1"/>
  <c r="P28" i="38" s="1"/>
  <c r="AC97" i="37"/>
  <c r="I46" i="38" s="1"/>
  <c r="P46" i="38" s="1"/>
  <c r="AC67" i="37"/>
  <c r="I16" i="38" s="1"/>
  <c r="P16" i="38" s="1"/>
  <c r="AC114" i="37"/>
  <c r="I126" i="37"/>
  <c r="G72" i="16" s="1"/>
  <c r="K72" i="16" s="1"/>
  <c r="J106" i="37"/>
  <c r="J126" i="37" s="1"/>
  <c r="G73" i="16" s="1"/>
  <c r="K73" i="16" s="1"/>
  <c r="AC111" i="37"/>
  <c r="AC116" i="37"/>
  <c r="AC113" i="37"/>
  <c r="AC124" i="37"/>
  <c r="AD30" i="26"/>
  <c r="AE30" i="26" s="1"/>
  <c r="I47" i="56"/>
  <c r="T32" i="26" s="1"/>
  <c r="H41" i="56"/>
  <c r="H50" i="56" s="1"/>
  <c r="M13" i="38"/>
  <c r="M50" i="38" s="1"/>
  <c r="AC107" i="37"/>
  <c r="I304" i="37"/>
  <c r="AF215" i="37"/>
  <c r="M55" i="37"/>
  <c r="K55" i="37"/>
  <c r="G54" i="16" s="1"/>
  <c r="K54" i="16" s="1"/>
  <c r="L18" i="37"/>
  <c r="L55" i="37" s="1"/>
  <c r="G55" i="16" s="1"/>
  <c r="K55" i="16" s="1"/>
  <c r="H55" i="37"/>
  <c r="G51" i="16" s="1"/>
  <c r="K51" i="16" s="1"/>
  <c r="O18" i="37"/>
  <c r="O55" i="37" s="1"/>
  <c r="G57" i="16" s="1"/>
  <c r="K57" i="16" s="1"/>
  <c r="N18" i="37"/>
  <c r="N55" i="37" s="1"/>
  <c r="G56" i="16" s="1"/>
  <c r="K56" i="16" s="1"/>
  <c r="I50" i="56"/>
  <c r="K209" i="16" s="1"/>
  <c r="K218" i="16" s="1"/>
  <c r="AD59" i="26" l="1"/>
  <c r="AE59" i="26" s="1"/>
  <c r="D51" i="26"/>
  <c r="V24" i="26"/>
  <c r="D28" i="26"/>
  <c r="N28" i="26" s="1"/>
  <c r="H30" i="58"/>
  <c r="D18" i="26"/>
  <c r="D26" i="26"/>
  <c r="H26" i="26" s="1"/>
  <c r="T20" i="26"/>
  <c r="X20" i="26"/>
  <c r="H38" i="58"/>
  <c r="D34" i="26"/>
  <c r="H33" i="58"/>
  <c r="H35" i="58"/>
  <c r="R24" i="26"/>
  <c r="J24" i="26"/>
  <c r="P24" i="26"/>
  <c r="N24" i="26"/>
  <c r="L24" i="26"/>
  <c r="X24" i="26"/>
  <c r="H24" i="26"/>
  <c r="T24" i="26"/>
  <c r="F24" i="26"/>
  <c r="H34" i="58"/>
  <c r="V20" i="26"/>
  <c r="H31" i="58"/>
  <c r="H47" i="56"/>
  <c r="AC106" i="37"/>
  <c r="I18" i="37"/>
  <c r="I55" i="37" s="1"/>
  <c r="G52" i="16" s="1"/>
  <c r="K52" i="16" s="1"/>
  <c r="G113" i="16"/>
  <c r="K113" i="16" s="1"/>
  <c r="M304" i="37"/>
  <c r="AI215" i="37"/>
  <c r="N32" i="26"/>
  <c r="H32" i="26"/>
  <c r="F32" i="26"/>
  <c r="P26" i="26" l="1"/>
  <c r="L26" i="26"/>
  <c r="F26" i="26"/>
  <c r="P28" i="26"/>
  <c r="J28" i="26"/>
  <c r="H28" i="26"/>
  <c r="R28" i="26"/>
  <c r="R26" i="26"/>
  <c r="N26" i="26"/>
  <c r="F28" i="26"/>
  <c r="L28" i="26"/>
  <c r="J26" i="26"/>
  <c r="T26" i="26"/>
  <c r="T28" i="26"/>
  <c r="V28" i="26"/>
  <c r="AB28" i="26"/>
  <c r="D55" i="26"/>
  <c r="Z28" i="26"/>
  <c r="Z38" i="26" s="1"/>
  <c r="X28" i="26"/>
  <c r="V18" i="26"/>
  <c r="D45" i="26"/>
  <c r="D61" i="26"/>
  <c r="N34" i="26"/>
  <c r="P34" i="26"/>
  <c r="T34" i="26"/>
  <c r="F34" i="26"/>
  <c r="R34" i="26"/>
  <c r="H34" i="26"/>
  <c r="N47" i="26"/>
  <c r="X47" i="26"/>
  <c r="H47" i="26"/>
  <c r="T47" i="26"/>
  <c r="L47" i="26"/>
  <c r="V47" i="26"/>
  <c r="R47" i="26"/>
  <c r="J47" i="26"/>
  <c r="AB47" i="26"/>
  <c r="F47" i="26"/>
  <c r="P47" i="26"/>
  <c r="D53" i="26"/>
  <c r="X26" i="26"/>
  <c r="V26" i="26"/>
  <c r="X51" i="26"/>
  <c r="F51" i="26"/>
  <c r="P51" i="26"/>
  <c r="R51" i="26"/>
  <c r="J51" i="26"/>
  <c r="L51" i="26"/>
  <c r="N51" i="26"/>
  <c r="V51" i="26"/>
  <c r="T51" i="26"/>
  <c r="H51" i="26"/>
  <c r="AD24" i="26"/>
  <c r="AE24" i="26" s="1"/>
  <c r="N20" i="26"/>
  <c r="J20" i="26"/>
  <c r="P20" i="26"/>
  <c r="F20" i="26"/>
  <c r="L20" i="26"/>
  <c r="H20" i="26"/>
  <c r="AB20" i="26"/>
  <c r="AB38" i="26" s="1"/>
  <c r="R20" i="26"/>
  <c r="O13" i="38"/>
  <c r="H37" i="58"/>
  <c r="F18" i="26"/>
  <c r="T18" i="26"/>
  <c r="R18" i="26"/>
  <c r="H18" i="26"/>
  <c r="N18" i="26"/>
  <c r="L18" i="26"/>
  <c r="J18" i="26"/>
  <c r="X18" i="26"/>
  <c r="P18" i="26"/>
  <c r="J18" i="37"/>
  <c r="J55" i="37" s="1"/>
  <c r="G53" i="16" s="1"/>
  <c r="K53" i="16" s="1"/>
  <c r="G117" i="16"/>
  <c r="K117" i="16" s="1"/>
  <c r="AD32" i="26"/>
  <c r="AE32" i="26" s="1"/>
  <c r="T38" i="26" l="1"/>
  <c r="V38" i="26"/>
  <c r="AD28" i="26"/>
  <c r="AE28" i="26" s="1"/>
  <c r="AD26" i="26"/>
  <c r="AE26" i="26" s="1"/>
  <c r="R38" i="26"/>
  <c r="AD47" i="26"/>
  <c r="AE47" i="26" s="1"/>
  <c r="AD34" i="26"/>
  <c r="AE34" i="26" s="1"/>
  <c r="V45" i="26"/>
  <c r="N45" i="26"/>
  <c r="J45" i="26"/>
  <c r="X45" i="26"/>
  <c r="L45" i="26"/>
  <c r="F45" i="26"/>
  <c r="P45" i="26"/>
  <c r="T45" i="26"/>
  <c r="H45" i="26"/>
  <c r="R45" i="26"/>
  <c r="R55" i="26"/>
  <c r="F55" i="26"/>
  <c r="H55" i="26"/>
  <c r="L55" i="26"/>
  <c r="J55" i="26"/>
  <c r="N55" i="26"/>
  <c r="T55" i="26"/>
  <c r="AB55" i="26"/>
  <c r="AB65" i="26" s="1"/>
  <c r="V55" i="26"/>
  <c r="X55" i="26"/>
  <c r="P55" i="26"/>
  <c r="Z55" i="26"/>
  <c r="H53" i="26"/>
  <c r="V53" i="26"/>
  <c r="T53" i="26"/>
  <c r="L53" i="26"/>
  <c r="F53" i="26"/>
  <c r="J53" i="26"/>
  <c r="X53" i="26"/>
  <c r="N53" i="26"/>
  <c r="P53" i="26"/>
  <c r="R53" i="26"/>
  <c r="AD51" i="26"/>
  <c r="AE51" i="26" s="1"/>
  <c r="T61" i="26"/>
  <c r="F61" i="26"/>
  <c r="P61" i="26"/>
  <c r="R61" i="26"/>
  <c r="H61" i="26"/>
  <c r="N61" i="26"/>
  <c r="P38" i="26"/>
  <c r="X38" i="26"/>
  <c r="N38" i="26"/>
  <c r="AD20" i="26"/>
  <c r="AE20" i="26" s="1"/>
  <c r="AC18" i="37"/>
  <c r="I13" i="38" s="1"/>
  <c r="P13" i="38" s="1"/>
  <c r="P50" i="38" s="1"/>
  <c r="AD18" i="26"/>
  <c r="AE18" i="26" s="1"/>
  <c r="K120" i="16"/>
  <c r="AD53" i="26" l="1"/>
  <c r="AE53" i="26" s="1"/>
  <c r="R65" i="26"/>
  <c r="N65" i="26"/>
  <c r="AD61" i="26"/>
  <c r="AE61" i="26" s="1"/>
  <c r="V65" i="26"/>
  <c r="T65" i="26"/>
  <c r="AD45" i="26"/>
  <c r="AE45" i="26" s="1"/>
  <c r="X65" i="26"/>
  <c r="H32" i="58"/>
  <c r="H41" i="58" s="1"/>
  <c r="J31" i="58" s="1"/>
  <c r="D22" i="26"/>
  <c r="D49" i="26" s="1"/>
  <c r="AD55" i="26"/>
  <c r="AE55" i="26" s="1"/>
  <c r="Z65" i="26"/>
  <c r="P65" i="26"/>
  <c r="K279" i="16"/>
  <c r="K281" i="16" s="1"/>
  <c r="K286" i="16" s="1"/>
  <c r="I50" i="38"/>
  <c r="L49" i="26" l="1"/>
  <c r="F49" i="26"/>
  <c r="F65" i="26" s="1"/>
  <c r="J49" i="26"/>
  <c r="J65" i="26" s="1"/>
  <c r="H49" i="26"/>
  <c r="H65" i="26" s="1"/>
  <c r="D65" i="26"/>
  <c r="D68" i="26"/>
  <c r="L22" i="26"/>
  <c r="L38" i="26" s="1"/>
  <c r="D38" i="26"/>
  <c r="J29" i="58"/>
  <c r="J39" i="58"/>
  <c r="J38" i="58"/>
  <c r="J22" i="26"/>
  <c r="J38" i="26" s="1"/>
  <c r="H22" i="26"/>
  <c r="H38" i="26" s="1"/>
  <c r="F22" i="26"/>
  <c r="AC39" i="26"/>
  <c r="Q50" i="38"/>
  <c r="R50" i="38" s="1"/>
  <c r="H17" i="58"/>
  <c r="H25" i="58" s="1"/>
  <c r="E10" i="58" s="1"/>
  <c r="E10" i="16"/>
  <c r="D66" i="26" l="1"/>
  <c r="G38" i="26" s="1"/>
  <c r="AD49" i="26"/>
  <c r="AE49" i="26" s="1"/>
  <c r="AE66" i="26" s="1"/>
  <c r="L65" i="26"/>
  <c r="F38" i="26"/>
  <c r="C20" i="26"/>
  <c r="C47" i="26" s="1"/>
  <c r="C34" i="26"/>
  <c r="C61" i="26" s="1"/>
  <c r="C28" i="26"/>
  <c r="C55" i="26" s="1"/>
  <c r="C32" i="26"/>
  <c r="C59" i="26" s="1"/>
  <c r="C18" i="26"/>
  <c r="C45" i="26" s="1"/>
  <c r="C26" i="26"/>
  <c r="C53" i="26" s="1"/>
  <c r="C30" i="26"/>
  <c r="C57" i="26" s="1"/>
  <c r="C16" i="26"/>
  <c r="C43" i="26" s="1"/>
  <c r="C24" i="26"/>
  <c r="C51" i="26" s="1"/>
  <c r="C22" i="26"/>
  <c r="C49" i="26" s="1"/>
  <c r="C36" i="26"/>
  <c r="C63" i="26" s="1"/>
  <c r="J41" i="58"/>
  <c r="AD22" i="26"/>
  <c r="AE22" i="26" s="1"/>
  <c r="AE39" i="26" s="1"/>
  <c r="O65" i="26" l="1"/>
  <c r="M65" i="26"/>
  <c r="K38" i="26"/>
  <c r="M38" i="26"/>
  <c r="AA38" i="26"/>
  <c r="Q38" i="26"/>
  <c r="Y38" i="26"/>
  <c r="W65" i="26"/>
  <c r="G65" i="26"/>
  <c r="I38" i="26"/>
  <c r="O38" i="26"/>
  <c r="S38" i="26"/>
  <c r="S65" i="26"/>
  <c r="I65" i="26"/>
  <c r="AA65" i="26"/>
  <c r="K65" i="26"/>
  <c r="Y65" i="26"/>
  <c r="W38" i="26"/>
  <c r="U38" i="26"/>
  <c r="U65" i="26"/>
  <c r="E65" i="26"/>
  <c r="Q65" i="26"/>
  <c r="F39" i="26"/>
  <c r="E39" i="26" s="1"/>
  <c r="E38" i="26"/>
  <c r="C65" i="26"/>
  <c r="C38" i="26"/>
  <c r="H39" i="26" l="1"/>
  <c r="G39" i="26" l="1"/>
  <c r="J39" i="26"/>
  <c r="L39" i="26" l="1"/>
  <c r="I39" i="26"/>
  <c r="K39" i="26" l="1"/>
  <c r="N39" i="26"/>
  <c r="M39" i="26" l="1"/>
  <c r="P39" i="26"/>
  <c r="O39" i="26" l="1"/>
  <c r="R39" i="26"/>
  <c r="Q39" i="26" l="1"/>
  <c r="T39" i="26"/>
  <c r="S39" i="26" l="1"/>
  <c r="V39" i="26"/>
  <c r="U39" i="26" l="1"/>
  <c r="X39" i="26"/>
  <c r="W39" i="26" l="1"/>
  <c r="Z39" i="26"/>
  <c r="Y39" i="26" l="1"/>
  <c r="AB39" i="26"/>
  <c r="F66" i="26" l="1"/>
  <c r="AA39" i="26"/>
  <c r="AD39" i="26"/>
  <c r="E66" i="26" l="1"/>
  <c r="H66" i="26"/>
  <c r="G66" i="26" l="1"/>
  <c r="J66" i="26"/>
  <c r="I66" i="26" l="1"/>
  <c r="L66" i="26"/>
  <c r="K66" i="26" l="1"/>
  <c r="N66" i="26"/>
  <c r="M66" i="26" l="1"/>
  <c r="P66" i="26"/>
  <c r="O66" i="26" l="1"/>
  <c r="R66" i="26"/>
  <c r="Q66" i="26" l="1"/>
  <c r="T66" i="26"/>
  <c r="S66" i="26" l="1"/>
  <c r="V66" i="26"/>
  <c r="U66" i="26" l="1"/>
  <c r="X66" i="26"/>
  <c r="W66" i="26" l="1"/>
  <c r="Z66" i="26"/>
  <c r="Y66" i="26" l="1"/>
  <c r="AB66" i="26"/>
  <c r="AA66" i="26" l="1"/>
  <c r="AD6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S12" authorId="0" shapeId="0" xr:uid="{00000000-0006-0000-0000-000001000000}">
      <text>
        <r>
          <rPr>
            <b/>
            <sz val="9"/>
            <color indexed="81"/>
            <rFont val="Segoe UI"/>
            <family val="2"/>
          </rPr>
          <t>jeniffer nascimento:</t>
        </r>
        <r>
          <rPr>
            <sz val="9"/>
            <color indexed="81"/>
            <rFont val="Segoe UI"/>
            <family val="2"/>
          </rPr>
          <t xml:space="preserve">
ATUALIZAR CONFORME QTDE DE RUAS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tc={6CE318E4-E116-42BE-8470-EBA85B0B2192}</author>
    <author>tc={053244C6-27EA-4BFA-94D0-687C5C10E010}</author>
  </authors>
  <commentList>
    <comment ref="B27" authorId="0" shapeId="0" xr:uid="{6CE318E4-E116-42BE-8470-EBA85B0B2192}">
      <text>
        <r>
          <rPr>
            <sz val="10"/>
            <rFont val="Arial"/>
          </rPr>
          <t>[Comentário encadeado]
Sua versão do Excel permite que você leia este comentário encadeado, no entanto, as edições serão removidas se o arquivo for aberto em uma versão mais recente do Excel. Saiba mais: https://go.microsoft.com/fwlink/?linkid=870924
Comentário:
    SICRO/DNIT</t>
        </r>
      </text>
    </comment>
    <comment ref="E124" authorId="1" shapeId="0" xr:uid="{053244C6-27EA-4BFA-94D0-687C5C10E010}">
      <text>
        <r>
          <rPr>
            <sz val="10"/>
            <rFont val="Arial"/>
          </rPr>
          <t>[Comentário encadeado]
Sua versão do Excel permite que você leia este comentário encadeado, no entanto, as edições serão removidas se o arquivo for aberto em uma versão mais recente do Excel. Saiba mais: https://go.microsoft.com/fwlink/?linkid=870924
Comentário:
    Preço ANP out/21 Mato Grosso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tc={7E2013EC-1C21-44F1-8F7B-484E839E7D9A}</author>
  </authors>
  <commentList>
    <comment ref="AC9" authorId="0" shapeId="0" xr:uid="{7E2013EC-1C21-44F1-8F7B-484E839E7D9A}">
      <text>
        <r>
          <rPr>
            <sz val="10"/>
            <rFont val="Arial"/>
          </rPr>
          <t>[Comentário encadeado]
Sua versão do Excel permite que você leia este comentário encadeado, no entanto, as edições serão removidas se o arquivo for aberto em uma versão mais recente do Excel. Saiba mais: https://go.microsoft.com/fwlink/?linkid=870924
Comentário:
    Produção 50 m de rede / dia (8 horas)
Bomba de 6,41cv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F33" authorId="0" shapeId="0" xr:uid="{00000000-0006-0000-0800-000001000000}">
      <text>
        <r>
          <rPr>
            <b/>
            <sz val="9"/>
            <color indexed="81"/>
            <rFont val="Segoe UI"/>
            <family val="2"/>
          </rPr>
          <t>jeniffer nascimento:</t>
        </r>
        <r>
          <rPr>
            <sz val="9"/>
            <color indexed="81"/>
            <rFont val="Segoe UI"/>
            <family val="2"/>
          </rPr>
          <t xml:space="preserve">
informação de acordo com o cronograma definido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F33" authorId="0" shapeId="0" xr:uid="{00000000-0006-0000-0900-000001000000}">
      <text>
        <r>
          <rPr>
            <b/>
            <sz val="9"/>
            <color indexed="81"/>
            <rFont val="Segoe UI"/>
            <family val="2"/>
          </rPr>
          <t>jeniffer nascimento:</t>
        </r>
        <r>
          <rPr>
            <sz val="9"/>
            <color indexed="81"/>
            <rFont val="Segoe UI"/>
            <family val="2"/>
          </rPr>
          <t xml:space="preserve">
informação de acordo com o cronograma definido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B10" authorId="0" shapeId="0" xr:uid="{00000000-0006-0000-0E00-000001000000}">
      <text>
        <r>
          <rPr>
            <b/>
            <sz val="9"/>
            <color indexed="81"/>
            <rFont val="Segoe UI"/>
            <family val="2"/>
          </rPr>
          <t>jeniffer nascimento:</t>
        </r>
        <r>
          <rPr>
            <sz val="9"/>
            <color indexed="81"/>
            <rFont val="Segoe UI"/>
            <family val="2"/>
          </rPr>
          <t xml:space="preserve">
ATUALIZAR JANEIRO-23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B6" authorId="0" shapeId="0" xr:uid="{00000000-0006-0000-1400-000001000000}">
      <text>
        <r>
          <rPr>
            <b/>
            <sz val="9"/>
            <color indexed="81"/>
            <rFont val="Segoe UI"/>
            <family val="2"/>
          </rPr>
          <t>Jeniffer Nascimento:</t>
        </r>
        <r>
          <rPr>
            <sz val="9"/>
            <color indexed="81"/>
            <rFont val="Segoe UI"/>
            <family val="2"/>
          </rPr>
          <t xml:space="preserve">
Não desonerado!</t>
        </r>
      </text>
    </comment>
  </commentList>
</comments>
</file>

<file path=xl/sharedStrings.xml><?xml version="1.0" encoding="utf-8"?>
<sst xmlns="http://schemas.openxmlformats.org/spreadsheetml/2006/main" count="4750" uniqueCount="1930">
  <si>
    <t>m³</t>
  </si>
  <si>
    <t>SERVIÇOS PRELIMINARES</t>
  </si>
  <si>
    <t>m²</t>
  </si>
  <si>
    <t>m</t>
  </si>
  <si>
    <t>2.1</t>
  </si>
  <si>
    <t>DESCRIÇÃO</t>
  </si>
  <si>
    <t>ITEM</t>
  </si>
  <si>
    <t>D</t>
  </si>
  <si>
    <t>TOTAL DO  ITEM 1:</t>
  </si>
  <si>
    <t>3.1</t>
  </si>
  <si>
    <t>LIMPEZA FINAL</t>
  </si>
  <si>
    <t>TOTAL DO ITEM 3:</t>
  </si>
  <si>
    <t>TOTAL DO ITEM 4:</t>
  </si>
  <si>
    <t>5.1</t>
  </si>
  <si>
    <t>C</t>
  </si>
  <si>
    <t>SERVIÇOS DE TERRAPLENAGEM</t>
  </si>
  <si>
    <t>TOTAL DO ITEM 5:</t>
  </si>
  <si>
    <t>DEPARTAMENTO DE OBRAS</t>
  </si>
  <si>
    <t>PREFEITURA MUNICIPAL DE ANANINDEUA</t>
  </si>
  <si>
    <t>1.1</t>
  </si>
  <si>
    <t>1.2</t>
  </si>
  <si>
    <t>UNIDADE</t>
  </si>
  <si>
    <t>TOTAL</t>
  </si>
  <si>
    <t>PLANILHA ORÇAMENTÁRIA</t>
  </si>
  <si>
    <t>PREÇO UNITÁRIO</t>
  </si>
  <si>
    <t>TOTAL DA OBRA COM BDI:</t>
  </si>
  <si>
    <t>SERVIÇOS DE REVESTIMENTO</t>
  </si>
  <si>
    <t>ton</t>
  </si>
  <si>
    <t>3.2</t>
  </si>
  <si>
    <t>94992</t>
  </si>
  <si>
    <t>SERVIÇOS DE CAIXA PRIMÁRIA</t>
  </si>
  <si>
    <t>4.1</t>
  </si>
  <si>
    <t>4.2</t>
  </si>
  <si>
    <t>4.3</t>
  </si>
  <si>
    <t>A - Mão-de-obra</t>
  </si>
  <si>
    <t>Item</t>
  </si>
  <si>
    <t>Descriminação</t>
  </si>
  <si>
    <t>Unidade</t>
  </si>
  <si>
    <t>Preço Unitário</t>
  </si>
  <si>
    <t>Custo</t>
  </si>
  <si>
    <t>Topógrafo com engargos complementares</t>
  </si>
  <si>
    <t>h</t>
  </si>
  <si>
    <t>88316</t>
  </si>
  <si>
    <t>A - Custo Total Mão-de-obra:</t>
  </si>
  <si>
    <t>B – Equipamentos</t>
  </si>
  <si>
    <t>B - Custo Total de Equipamentos:</t>
  </si>
  <si>
    <t>C – Materiais</t>
  </si>
  <si>
    <t>C - Custo Total de Materiais:</t>
  </si>
  <si>
    <t>Resumo da Composição do Custo Unitário</t>
  </si>
  <si>
    <t>Descrição</t>
  </si>
  <si>
    <t>A</t>
  </si>
  <si>
    <t>Mão de Obra</t>
  </si>
  <si>
    <t>[transportar subtotal A]</t>
  </si>
  <si>
    <t>B</t>
  </si>
  <si>
    <t>Equipamentos</t>
  </si>
  <si>
    <t>[transportar subtotal B]</t>
  </si>
  <si>
    <t>Materiais</t>
  </si>
  <si>
    <t>[transportar subtotal C]</t>
  </si>
  <si>
    <t>A+B+C</t>
  </si>
  <si>
    <t>Subtotal:</t>
  </si>
  <si>
    <t>E</t>
  </si>
  <si>
    <t>Preço Global:</t>
  </si>
  <si>
    <t>94287</t>
  </si>
  <si>
    <t>Execução de sarjeta de concreto usinado, moldada in loco em trecho reto, 30 cm base x 10 cm altura. AF_06/2016</t>
  </si>
  <si>
    <t xml:space="preserve">Guia (meio-fio) concreto, moldada in loco, em trecho reto com extrusora, 13 cm base x 22 cm altura. AF_06/2016 </t>
  </si>
  <si>
    <t>3.3</t>
  </si>
  <si>
    <t>CÓDIGO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</si>
  <si>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</si>
  <si>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</si>
  <si>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</si>
  <si>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</si>
  <si>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</si>
  <si>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</si>
  <si>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</si>
  <si>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</si>
  <si>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</si>
  <si>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</si>
  <si>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</si>
  <si>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</si>
  <si>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</si>
  <si>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</si>
  <si>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</si>
  <si>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</si>
  <si>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</si>
  <si>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</si>
  <si>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</si>
  <si>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</si>
  <si>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</si>
  <si>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</si>
  <si>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</si>
  <si>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</si>
  <si>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</si>
  <si>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</si>
  <si>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</si>
  <si>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</si>
  <si>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</si>
  <si>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</si>
  <si>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</si>
  <si>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</si>
  <si>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</si>
  <si>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</si>
  <si>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</si>
  <si>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</si>
  <si>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</si>
  <si>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</si>
  <si>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</si>
  <si>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</si>
  <si>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</si>
  <si>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</si>
  <si>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</si>
  <si>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</si>
  <si>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</si>
  <si>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</si>
  <si>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</si>
  <si>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</si>
  <si>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</si>
  <si>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</si>
  <si>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</si>
  <si>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</si>
  <si>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</si>
  <si>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</si>
  <si>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</si>
  <si>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</si>
  <si>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Total dos Encargos Sociais que não recebem incidências de A</t>
  </si>
  <si>
    <t>GRUPO D</t>
  </si>
  <si>
    <t>D1</t>
  </si>
  <si>
    <t>Reincidência de Grupo A</t>
  </si>
  <si>
    <t>D2</t>
  </si>
  <si>
    <t>Total de Reincidência de um Grupo sobre o outro</t>
  </si>
  <si>
    <t>*GRUPO E</t>
  </si>
  <si>
    <t>E1</t>
  </si>
  <si>
    <t>Total dos Encargos Sociais Complementares</t>
  </si>
  <si>
    <t>Fonte: Informação Dias de Chuva - INMET</t>
  </si>
  <si>
    <t>DISCRIMINAÇÃO DOS CUSTOS INDIRETOS</t>
  </si>
  <si>
    <t>PORCENTAGEM (%) ADOTADA</t>
  </si>
  <si>
    <t>VARIÁVEIS ACRESCIDAS DE ACORDO COM DIÁRIO OFICIAL DA UNIÃO DO DIA 20 DE SETEMBRO DE 2011</t>
  </si>
  <si>
    <t>CUSTOS TRIBUTÁRIOS</t>
  </si>
  <si>
    <t>TRIBUTOS FEDERAIS</t>
  </si>
  <si>
    <t>PIS</t>
  </si>
  <si>
    <t>PROGRAMAÇÃO DE INTEGRAÇÃO SOCIAL</t>
  </si>
  <si>
    <t>CONFINS</t>
  </si>
  <si>
    <t>FINANC. DA SEGURIDADE SOCIAL</t>
  </si>
  <si>
    <t>TRIBUTO MUNICIPAL</t>
  </si>
  <si>
    <t>ISS</t>
  </si>
  <si>
    <t>5.2</t>
  </si>
  <si>
    <t>5.3</t>
  </si>
  <si>
    <t>TOTAL DO ITEM 6:</t>
  </si>
  <si>
    <t>Limpeza geral e entrega da obra</t>
  </si>
  <si>
    <t>QTDE.</t>
  </si>
  <si>
    <t>90099</t>
  </si>
  <si>
    <t xml:space="preserve">Escavação mecanizada de vala com prof. até 1,5 m, com retroescavadeira, larg. menor que 0,80 m, em solo de 1A categoria. </t>
  </si>
  <si>
    <t>Coeficiente</t>
  </si>
  <si>
    <t>Areia média</t>
  </si>
  <si>
    <t>Seixo fino lavado</t>
  </si>
  <si>
    <t>Pá carregadeira sobre rodas, potência 197 HP, capacidade da caçamba 2,5 A 3,5 m³, peso operacional 18338 kg</t>
  </si>
  <si>
    <t>Tanque de asfalto estacionário com serpentina, capacidade 30.000 L</t>
  </si>
  <si>
    <t>Cimento asfáltico de petróleo granel (CAP) 50/70 (coletado caixa na ANP acrescido de ICMS)</t>
  </si>
  <si>
    <t>Usina de mistura asfáltica à quente, tipo contra fluxo, prod 40 a 80ton/hora</t>
  </si>
  <si>
    <t>Grupo gerador com carenagem, motor diesel potência standart entre 250 e 260 KVA</t>
  </si>
  <si>
    <t>Óleo diesel S 500 - comum</t>
  </si>
  <si>
    <t>Óleo residual com baixo ponto de fluidez (BPF). Para queima</t>
  </si>
  <si>
    <t>Operador de usina de asfalto</t>
  </si>
  <si>
    <t>Operador de pá carregadeira</t>
  </si>
  <si>
    <t>Servente com encargos complementares</t>
  </si>
  <si>
    <t>Vibroacabadora de asfalto sobre esteira, largura de pavimentação 1,90M a 5,30M. Potência 105 HP capacidade 450 T/H - CHP DIURNO. AF_11/2014</t>
  </si>
  <si>
    <t>Vibroacabadora de asfalto sobre esteira, largura de pavimentação 1,90M a 5,30M. Potência 105 HP capacidade 450 T/H - CHI DIURNO. AF_11/2015</t>
  </si>
  <si>
    <t>Rasteleiro com encargos complementares</t>
  </si>
  <si>
    <t>Caminhão basculante 10m³ trucado cabine simples, peso bruto total 23.000 kg carga útil máxima 15.935 kg distância entre eixos 4,80m, potência 230 C, inclusive caçamba metálica - CHP DIURNO. AF_06/2014</t>
  </si>
  <si>
    <t>Rolo compactador vibratório tandem, aço liso, potência 125 HP, peso sem/com lastro 10.20/11,65 T, largura de trabalho 1,73m - CHP DIURNO. AF_11/2016</t>
  </si>
  <si>
    <t>Rolo compactador vibratório tandem, aço liso, potência 125 HP, peso sem/com lastro 10.20/11,65 T, largura de trabalho 1,73m - CHI DIURNO. AF_11/2017</t>
  </si>
  <si>
    <t>Trator de pneus com potência de 85 CV, tração 4x4, com vassoura mecânica acoplada - CHI DIURNO. AF_02/2017</t>
  </si>
  <si>
    <t>Trator de pneus com potência de 85 CV, tração 4x4, com vassoura mecânica acoplada - CHP DIURNO. AF_03/2017</t>
  </si>
  <si>
    <t>Rolo compactador de pneus estático, pressão variável, potência 110HP, peso sem/com lastro 10,8/27 T, largura de rolagem 2,30m - CHP DIURNO. AF_06/2017</t>
  </si>
  <si>
    <t>Rolo compactador de pneus estático, pressão variável, potência 110HP, peso sem/com lastro 10,8/27 T, largura de rolagem 2,30m - CHI DIURNO. AF_06/2017</t>
  </si>
  <si>
    <t>CHP</t>
  </si>
  <si>
    <t>L</t>
  </si>
  <si>
    <t>CHI</t>
  </si>
  <si>
    <t>TOTAL DO ITEM 7:</t>
  </si>
  <si>
    <t>88301</t>
  </si>
  <si>
    <t>88304</t>
  </si>
  <si>
    <t>6.1</t>
  </si>
  <si>
    <t>6.2</t>
  </si>
  <si>
    <t>7.1</t>
  </si>
  <si>
    <t>FONTE</t>
  </si>
  <si>
    <t>SEDOP</t>
  </si>
  <si>
    <t>CPU</t>
  </si>
  <si>
    <t>SINAPI</t>
  </si>
  <si>
    <t>SECRETARIA MUNICIPAL DE SANEAMENTO E INFRAESTRUTURA</t>
  </si>
  <si>
    <t>MÃO DE OBRA</t>
  </si>
  <si>
    <t>SERVENTE COM ENCARGOS COMPLEMENTARES</t>
  </si>
  <si>
    <t xml:space="preserve">( A  )   T O T A L                                      </t>
  </si>
  <si>
    <t>MATERIAL</t>
  </si>
  <si>
    <t xml:space="preserve">                   </t>
  </si>
  <si>
    <t>( B  )   T O T A L</t>
  </si>
  <si>
    <t>EQUIPAMENTOS</t>
  </si>
  <si>
    <t>M3</t>
  </si>
  <si>
    <t>( C )   T O T A L</t>
  </si>
  <si>
    <t xml:space="preserve">CUSTO DIRETO TOTAL (A)+(B)+(C)     </t>
  </si>
  <si>
    <t>BDI</t>
  </si>
  <si>
    <t xml:space="preserve">       C U S T O   U N I T Á R I O     T O T A L</t>
  </si>
  <si>
    <t>Execução de Imprimação com asfálto diluído CM-30. AF_11/2019</t>
  </si>
  <si>
    <t>Execução de pintura de ligação com emulsão asfáltica RR-2C. AF_11/2019</t>
  </si>
  <si>
    <t>270220</t>
  </si>
  <si>
    <t>II</t>
  </si>
  <si>
    <t>III</t>
  </si>
  <si>
    <t>Execução de passeio (calçada) ou piso de concreto com concreto moldado in loco, feito em obra, acabamento convencional, espessura 6cm, armado. AF_07/2016</t>
  </si>
  <si>
    <t>CRONOGRAMA FÍSICO-FINANCEIRO</t>
  </si>
  <si>
    <t>DISCRIMINAÇÃO DOS SERVIÇOS</t>
  </si>
  <si>
    <t>PESO %</t>
  </si>
  <si>
    <t>VALOR BDI INCLUSO (R$)</t>
  </si>
  <si>
    <t>%</t>
  </si>
  <si>
    <t>R$</t>
  </si>
  <si>
    <t>SIMPLES</t>
  </si>
  <si>
    <t>ACUMULADO</t>
  </si>
  <si>
    <t>97956</t>
  </si>
  <si>
    <t>Caixa para boca de lobo simples retangular, em alvenaria com blocos de concreto, dimensões internas: 0,6x1x1,2 m. AF_12/2020</t>
  </si>
  <si>
    <t>180263</t>
  </si>
  <si>
    <t>Poço visita em conc. armado 1.2x1.2m h=2.10m-tpo.fofo</t>
  </si>
  <si>
    <t>180723</t>
  </si>
  <si>
    <t>180724</t>
  </si>
  <si>
    <t>020018</t>
  </si>
  <si>
    <t>Demolição manual de concreto simples (para execução de calçada)</t>
  </si>
  <si>
    <t>VIA</t>
  </si>
  <si>
    <t>L=</t>
  </si>
  <si>
    <t>Quantidade (un)</t>
  </si>
  <si>
    <t>Preparo de fundo de vala com largura menor que 1.5 m (acerto do solo natural). AF_08/2020</t>
  </si>
  <si>
    <t xml:space="preserve">Execução de boca de lobo  </t>
  </si>
  <si>
    <t xml:space="preserve">Execução de poço de visita </t>
  </si>
  <si>
    <t>m³Xkm</t>
  </si>
  <si>
    <t>H</t>
  </si>
  <si>
    <t>5684</t>
  </si>
  <si>
    <t>5685</t>
  </si>
  <si>
    <t>88253</t>
  </si>
  <si>
    <t>Auxiliar de topográfo com engargos complementares</t>
  </si>
  <si>
    <t>h/dia</t>
  </si>
  <si>
    <t>dias/mês</t>
  </si>
  <si>
    <t>PREÇO UNIT. C/ BDI</t>
  </si>
  <si>
    <t>PORCENTAGEM (%) ADOTADA PELA MÉDIA DOS QUARTIS</t>
  </si>
  <si>
    <t>CPRB</t>
  </si>
  <si>
    <t>Variável de Desoneração de 4,5%</t>
  </si>
  <si>
    <t>DEMONSTRAÇÃO DOS TRIBUTOS MUNICIPAL</t>
  </si>
  <si>
    <t>AC =</t>
  </si>
  <si>
    <t>S+G =</t>
  </si>
  <si>
    <t>R =</t>
  </si>
  <si>
    <t>(1+AC+S+R+G)=</t>
  </si>
  <si>
    <t>DF=</t>
  </si>
  <si>
    <t>(1+DF)=</t>
  </si>
  <si>
    <t>(1+L)=</t>
  </si>
  <si>
    <t>I=</t>
  </si>
  <si>
    <t>(1-I)=</t>
  </si>
  <si>
    <t>BDI=</t>
  </si>
  <si>
    <t xml:space="preserve"> &lt; 24,23% (OK)</t>
  </si>
  <si>
    <t>Verificações: com a retirada de 4,5% de CPRB. O valor terá que ser menor que 24,23%</t>
  </si>
  <si>
    <t>Placa de obra em lona com plotagem de gráfica</t>
  </si>
  <si>
    <t>VASSOURA MECÂNICA REBOCÁVEL COM ESCOVA CILÍNDRICA, LARGURA ÚTIL DE VARRIMENTO DE 2,44 M - CHP DIURNO. AF_06/2014</t>
  </si>
  <si>
    <t>VASSOURA MECÂNICA REBOCÁVEL COM ESCOVA CILÍNDRICA, LARGURA ÚTIL DE VARRIMENTO DE 2,44 M - CHI DIURNO. AF_06/2014</t>
  </si>
  <si>
    <t>TRATOR DE PNEUS, POTÊNCIA 85 CV, TRAÇÃO 4X4, PESO COM LASTRO DE 4.675 KG - CHP DIURNO. AF_06/2014</t>
  </si>
  <si>
    <t>TRATOR DE PNEUS, POTÊNCIA 85 CV, TRAÇÃO 4X4, PESO COM LASTRO DE 4.675 KG - CHI DIURNO. AF_06/2014</t>
  </si>
  <si>
    <t>COM DESONERAÇÃO</t>
  </si>
  <si>
    <t>SEM DESONERAÇÃO</t>
  </si>
  <si>
    <t>TOTAL (A+B+C+D)</t>
  </si>
  <si>
    <t>SECRETARIA MUNICIAL DE SANEAMENTO E INFRAESTRUTURA</t>
  </si>
  <si>
    <t>IV</t>
  </si>
  <si>
    <t>Código</t>
  </si>
  <si>
    <t>CPU-02</t>
  </si>
  <si>
    <t>5901</t>
  </si>
  <si>
    <t>CAMINHÃO PIPA 10.000 L TRUCADO, PESO BRUTO TOTAL 23.000 KG, CARGA ÚTIL MÁXIMA 15.935 KG, DISTÂNCIA ENTRE EIXOS 4,8 M, POTÊNCIA 230 CV, INCLUSIVE TANQUE DE AÇO PARA TRANSPORTE DE ÁGUA - CHP DIURNO. AF_06/2014</t>
  </si>
  <si>
    <t>5903</t>
  </si>
  <si>
    <t>CAMINHÃO PIPA 10.000 L TRUCADO, PESO BRUTO TOTAL 23.000 KG, CARGA ÚTIL MÁXIMA 15.935 KG, DISTÂNCIA ENTRE EIXOS 4,8 M, POTÊNCIA 230 CV, INCLUSIVE TANQUE DE AÇO PARA TRANSPORTE DE ÁGUA - CHI DIURNO. AF_06/2014</t>
  </si>
  <si>
    <t>5932</t>
  </si>
  <si>
    <t>MOTONIVELADORA POTÊNCIA BÁSICA LÍQUIDA (PRIMEIRA MARCHA) 125 HP, PESO BRUTO 13032 KG, LARGURA DA LÂMINA DE 3,7 M - CHP DIURNO. AF_06/2014</t>
  </si>
  <si>
    <t>5934</t>
  </si>
  <si>
    <t>MOTONIVELADORA POTÊNCIA BÁSICA LÍQUIDA (PRIMEIRA MARCHA) 125 HP, PESO BRUTO 13032 KG, LARGURA DA LÂMINA DE 3,7 M - CHI DIURNO. AF_06/2014</t>
  </si>
  <si>
    <t>96463</t>
  </si>
  <si>
    <t>96464</t>
  </si>
  <si>
    <t>PEDREIRO COM ENCARGOS COMPLEMENTARES</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</si>
  <si>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</si>
  <si>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</si>
  <si>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ARGAMASSA TRAÇO 1:3 (EM VOLUME DE CIMENTO E AREIA GROSSA ÚMIDA) PARA CHAPISCO CONVENCIONAL, PREPARO MECÂNICO COM BETONEIRA 400 L. AF_08/2019</t>
  </si>
  <si>
    <t>MONTAGEM E DESMONTAGEM DE FÔRMA DE PILARES RETANGULARES E ESTRUTURAS SIMILARES, PÉ-DIREITO SIMPLES, EM CHAPA DE MADEIRA COMPENSADA RESINADA, 4 UTILIZAÇÕES. AF_09/2020</t>
  </si>
  <si>
    <t>M2</t>
  </si>
  <si>
    <t>ARMAÇÃO DE ESTRUTURAS DE CONCRETO ARMADO, EXCETO VIGAS, PILARES, LAJES E FUNDAÇÕES, UTILIZANDO AÇO CA-60 DE 5,0 MM - MONTAGEM. AF_12/2015</t>
  </si>
  <si>
    <t>KG</t>
  </si>
  <si>
    <t>CONCRETO FCK = 15MPA, TRAÇO 1:3,4:3,5 (CIMENTO/ AREIA MÉDIA/ BRITA 1)  - PREPARO MECÂNICO COM BETONEIRA 600 L. AF_07/2016</t>
  </si>
  <si>
    <t>PREPARO DE FUNDO DE VALA COM LARGURA MENOR QUE 1,5 M (ACERTO DO SOLO NATURAL). AF_08/2020</t>
  </si>
  <si>
    <t>Unidade: unid</t>
  </si>
  <si>
    <t>und.</t>
  </si>
  <si>
    <t>COTAÇÃO</t>
  </si>
  <si>
    <t>EAI CM ECOIMPRIMA (ASFALTO DILUÍDO)</t>
  </si>
  <si>
    <t xml:space="preserve"> 0,002</t>
  </si>
  <si>
    <t xml:space="preserve"> 5841 </t>
  </si>
  <si>
    <t xml:space="preserve"> 0,004</t>
  </si>
  <si>
    <t xml:space="preserve"> 0,001</t>
  </si>
  <si>
    <t xml:space="preserve"> 89035 </t>
  </si>
  <si>
    <t xml:space="preserve"> 0,0017</t>
  </si>
  <si>
    <t xml:space="preserve"> 89036 </t>
  </si>
  <si>
    <t xml:space="preserve"> 0,0041</t>
  </si>
  <si>
    <t xml:space="preserve"> 0,0049</t>
  </si>
  <si>
    <t>PREÇO POR KG</t>
  </si>
  <si>
    <t>Colchão de areia e=20 cm</t>
  </si>
  <si>
    <t>Transporte com caminhão basculante de 14 m³, em via em revestimento primário. AF_07/2020</t>
  </si>
  <si>
    <t>93379</t>
  </si>
  <si>
    <t>Carga, manobra e descarga de solos e materiais granulares em caminhão basculante 18 m³ - carga com escavadeira hidráulica (caçamba de 1,20 m³ / 155 hp) e descarga livre (unidade: t). Af_07/2020</t>
  </si>
  <si>
    <t>4.4</t>
  </si>
  <si>
    <t>93591</t>
  </si>
  <si>
    <t>Transporte com caminhão basculante 14 m³, em via urbana em leito natural. AF_07/2020</t>
  </si>
  <si>
    <t>Ø 400</t>
  </si>
  <si>
    <t>LARGURA</t>
  </si>
  <si>
    <t>(m)</t>
  </si>
  <si>
    <t>TRECHO</t>
  </si>
  <si>
    <t>BAIRRO</t>
  </si>
  <si>
    <t>(und.)</t>
  </si>
  <si>
    <t>PROFUNDIDADE</t>
  </si>
  <si>
    <t>TOTAL (A)</t>
  </si>
  <si>
    <t>PREPARO DE FUNDO</t>
  </si>
  <si>
    <t>VOLUME TUBOS</t>
  </si>
  <si>
    <t>COLCHÃO DE AREIA</t>
  </si>
  <si>
    <t>ASSENTAMENTO</t>
  </si>
  <si>
    <t>CÁLCULO PARA TUBULAÇÃO DE 400 MM</t>
  </si>
  <si>
    <t>CÁLCULO PARA TUBULAÇÃO DE 600 MM</t>
  </si>
  <si>
    <t>CÁLCULO PARA TUBULAÇÃO DE 800 MM</t>
  </si>
  <si>
    <t>CÁLCULO PARA TUBULAÇÃO DE 1000 MM</t>
  </si>
  <si>
    <t>VIA/TRECHO</t>
  </si>
  <si>
    <t>COLCHÃO</t>
  </si>
  <si>
    <t>$ TOTAL</t>
  </si>
  <si>
    <t>CAIXA PARA BOCA DE LOBO</t>
  </si>
  <si>
    <t>POÇOS DE VISITA</t>
  </si>
  <si>
    <t>Ø 600</t>
  </si>
  <si>
    <t>MEMÓRIA DE CÁLCULO PARA DRENAGEM PROFUNDA</t>
  </si>
  <si>
    <t>EXTENSÃO</t>
  </si>
  <si>
    <t xml:space="preserve">TOTAL </t>
  </si>
  <si>
    <t>DADOS</t>
  </si>
  <si>
    <t>TERRAPLENAGEM</t>
  </si>
  <si>
    <t>CAIXA PRIMÁRIA</t>
  </si>
  <si>
    <t>PAVIMENTAÇÃO ASFÁLTICA</t>
  </si>
  <si>
    <t>TRANSPORTE CBUQ</t>
  </si>
  <si>
    <t>RUAS</t>
  </si>
  <si>
    <t>ESPESSURA (m)</t>
  </si>
  <si>
    <t>LARGURA (m)</t>
  </si>
  <si>
    <t>DEMOLIÇÃO (m³)</t>
  </si>
  <si>
    <t>EXTENSÃO (m)</t>
  </si>
  <si>
    <t>CALÇADA  (m²)</t>
  </si>
  <si>
    <t>PASSEIO</t>
  </si>
  <si>
    <t>D = A x C x esp</t>
  </si>
  <si>
    <t>ESCAVAÇÃO PARA MEIO FIO (m³)</t>
  </si>
  <si>
    <t>LIMPEZA MECANIZADA (m²)</t>
  </si>
  <si>
    <t>IMPRIMAÇAO (m²)</t>
  </si>
  <si>
    <t>PINT. LIG.  (m²)</t>
  </si>
  <si>
    <t>MEMÓRIA DE CÁLCULO PARA INFRAESTRUTURA</t>
  </si>
  <si>
    <t>5921</t>
  </si>
  <si>
    <t>5923</t>
  </si>
  <si>
    <t>89035</t>
  </si>
  <si>
    <t>89036</t>
  </si>
  <si>
    <t>SINAPI DEZ/2021</t>
  </si>
  <si>
    <t>1.3</t>
  </si>
  <si>
    <t>I</t>
  </si>
  <si>
    <t>ENCARREGADO GERAL COM ENCARGOS COMPLEMENTARES</t>
  </si>
  <si>
    <t>Engenheiro Civil</t>
  </si>
  <si>
    <t>Encarregado Geral</t>
  </si>
  <si>
    <t>Administração da obra</t>
  </si>
  <si>
    <t>V</t>
  </si>
  <si>
    <t>Assentamento de tubo de concreto para redes coletoras de águas pluviais, diâmetro de 1200 mm, junta rígida, instalado em local com alto nível de interferências. AF_12/2015</t>
  </si>
  <si>
    <t>Assentamento de tubo de concreto para redes coletoras de águas pluviais, diâmetro de 1500 mm, junta rígida, instalado em local com alto nível de interferências. AF_12/2015</t>
  </si>
  <si>
    <t>92821</t>
  </si>
  <si>
    <t>Assentamento de tubo de concreto para redes coletoras de águas pluviais, diâmetro de 400 mm, junta rígida, instalado em local com alto nível de interferências. AF_12/2015</t>
  </si>
  <si>
    <t>Assentamento de tubo de concreto para redes coletoras de águas pluviais, diâmetro de 600mm, junta rígida, instalado em local com baixo alto de interferências. AF_12/2015</t>
  </si>
  <si>
    <t>Assentamento de tubo de concreto para redes coletoras de águas pluviais, diâmetro de 800mm, junta rígida, instalado em local com alto nível de interferências. AF_12/2015</t>
  </si>
  <si>
    <t>Assentamento de tubo de concreto para redes coletoras de águas pluviais, diâmetro de 1000 mm, junta rígida, instalado em local com alto nível de interferências</t>
  </si>
  <si>
    <t>Locação de rede com auxílio de equipamento topográfico</t>
  </si>
  <si>
    <t>VALOR TOTAL</t>
  </si>
  <si>
    <t>DEMOLIÇÕES E RETIRADAS</t>
  </si>
  <si>
    <t>020174</t>
  </si>
  <si>
    <t>Retirada de entulho - manualmente (Incluindo Caixa Coletora)</t>
  </si>
  <si>
    <t>TOTAL DO  ITEM 2:</t>
  </si>
  <si>
    <t>00012574</t>
  </si>
  <si>
    <t>00012575</t>
  </si>
  <si>
    <t>4.1.1</t>
  </si>
  <si>
    <t>4.1.2</t>
  </si>
  <si>
    <t>4.1.3</t>
  </si>
  <si>
    <t>4.1.4</t>
  </si>
  <si>
    <t>4.1.5</t>
  </si>
  <si>
    <t>4.1.6</t>
  </si>
  <si>
    <t>4.1.7</t>
  </si>
  <si>
    <t>4.2.1</t>
  </si>
  <si>
    <t>4.2.2</t>
  </si>
  <si>
    <t>4.2.3</t>
  </si>
  <si>
    <t>4.2.4</t>
  </si>
  <si>
    <t>4.2.5</t>
  </si>
  <si>
    <t>4.2.6</t>
  </si>
  <si>
    <t>4.2.7</t>
  </si>
  <si>
    <t>4.3.1</t>
  </si>
  <si>
    <t>4.3.2</t>
  </si>
  <si>
    <t>4.3.3</t>
  </si>
  <si>
    <t>4.3.4</t>
  </si>
  <si>
    <t>4.3.5</t>
  </si>
  <si>
    <t>4.3.6</t>
  </si>
  <si>
    <t>4.3.7</t>
  </si>
  <si>
    <t>4.4.1</t>
  </si>
  <si>
    <t>4.4.2</t>
  </si>
  <si>
    <t>4.4.3</t>
  </si>
  <si>
    <t>4.4.4</t>
  </si>
  <si>
    <t>4.4.5</t>
  </si>
  <si>
    <t>4.4.6</t>
  </si>
  <si>
    <t>4.4.7</t>
  </si>
  <si>
    <t>4.5</t>
  </si>
  <si>
    <t>4.5.1</t>
  </si>
  <si>
    <t>4.5.2</t>
  </si>
  <si>
    <t>4.5.3</t>
  </si>
  <si>
    <t>4.5.4</t>
  </si>
  <si>
    <t>4.5.5</t>
  </si>
  <si>
    <t>4.5.6</t>
  </si>
  <si>
    <t>4.5.7</t>
  </si>
  <si>
    <t>4.6</t>
  </si>
  <si>
    <t>4.6.1</t>
  </si>
  <si>
    <t>4.6.2</t>
  </si>
  <si>
    <t>4.6.3</t>
  </si>
  <si>
    <t>4.6.4</t>
  </si>
  <si>
    <t>4.6.5</t>
  </si>
  <si>
    <t>4.6.6</t>
  </si>
  <si>
    <t>4.6.7</t>
  </si>
  <si>
    <t xml:space="preserve">Execução de tampa de boca de lobo  </t>
  </si>
  <si>
    <t>Tampa de concreto armado, dimensões: 1,00x1,20mx0,07m com furos</t>
  </si>
  <si>
    <t>MEIO FIO E SARJETA</t>
  </si>
  <si>
    <t>RETIRADAS</t>
  </si>
  <si>
    <t>ENTULHO (m³)</t>
  </si>
  <si>
    <t>CÁLCULO PARA TUBULAÇÃO DE 1200 MM</t>
  </si>
  <si>
    <t>CÁLCULO PARA TUBULAÇÃO DE 1500 MM</t>
  </si>
  <si>
    <t>TAMPA PARA BOCA DE LOBO</t>
  </si>
  <si>
    <t>TAMPA PARA POÇOS DE VISITA</t>
  </si>
  <si>
    <t>5.4</t>
  </si>
  <si>
    <t>TOTAL DO ITEM 8:</t>
  </si>
  <si>
    <t>7.2</t>
  </si>
  <si>
    <t>7.3</t>
  </si>
  <si>
    <t>7.4</t>
  </si>
  <si>
    <t>8.1</t>
  </si>
  <si>
    <t xml:space="preserve">OBSERVAÇÃO JENIFFER: TEM QUE DEIXAR ESTA LISTA (DADOS) E AS MEMÓRIAS NA MESMA ORDEM DE RUAS PARA QUE O VALOR INDIVIDUAL SEJA CALCULADO CORRETAMENTE. </t>
  </si>
  <si>
    <t>T</t>
  </si>
  <si>
    <t xml:space="preserve">m³ </t>
  </si>
  <si>
    <t>CARGA E DESCARGA P/ TRANSPORTE (m³)</t>
  </si>
  <si>
    <t>ESPESSURA DE CORTE (m)</t>
  </si>
  <si>
    <t>90776</t>
  </si>
  <si>
    <t>GRADE DE DISCO CONTROLE REMOTO REBOCÁVEL, COM 24 DISCOS 24 X 6 MM COM PNEUS PARA TRANSPORTE - CHP DIURNO. AF_06/2014</t>
  </si>
  <si>
    <t>GRADE DE DISCO CONTROLE REMOTO REBOCÁVEL, COM 24 DISCOS 24 X 6 MM COM PNEUS PARA TRANSPORTE - CHI DIURNO. AF_06/2014</t>
  </si>
  <si>
    <t>1.4</t>
  </si>
  <si>
    <t>Barracão de madeira/Almoxarifado</t>
  </si>
  <si>
    <t>180722</t>
  </si>
  <si>
    <t>Aterro incluindo carga, descarga, transporte e apiloamento</t>
  </si>
  <si>
    <t>030675</t>
  </si>
  <si>
    <t>Escavação mecanizada</t>
  </si>
  <si>
    <t>4.1.8</t>
  </si>
  <si>
    <t>fazer cpu p atualizar</t>
  </si>
  <si>
    <t>Limpeza do terreno</t>
  </si>
  <si>
    <t>4.2.8</t>
  </si>
  <si>
    <t>4.2.9</t>
  </si>
  <si>
    <t>4.3.8</t>
  </si>
  <si>
    <t>4.3.9</t>
  </si>
  <si>
    <t>4.4.8</t>
  </si>
  <si>
    <t>4.4.9</t>
  </si>
  <si>
    <t>4.5.8</t>
  </si>
  <si>
    <t>4.5.9</t>
  </si>
  <si>
    <t>4.6.8</t>
  </si>
  <si>
    <t>4.6.9</t>
  </si>
  <si>
    <t>UNID.</t>
  </si>
  <si>
    <t xml:space="preserve">$ UNIT. </t>
  </si>
  <si>
    <t>CÁLCULO DA MÉDIA  =</t>
  </si>
  <si>
    <t>ESCAVAÇÃO MECANIZADA</t>
  </si>
  <si>
    <t>CARGA  E DESCARGA</t>
  </si>
  <si>
    <t>ATERRO</t>
  </si>
  <si>
    <t>ESCORAMENTO</t>
  </si>
  <si>
    <t>TRANSPORTE ESCAVAÇÃO</t>
  </si>
  <si>
    <t>Execução de ala de lançamento</t>
  </si>
  <si>
    <t xml:space="preserve">Ala de lançamento para rede tubular </t>
  </si>
  <si>
    <t>ALA DE LANÇAMENTO</t>
  </si>
  <si>
    <t>TUBULAÇÃO 400</t>
  </si>
  <si>
    <t>FORN</t>
  </si>
  <si>
    <t>ESC</t>
  </si>
  <si>
    <t xml:space="preserve">CARGA </t>
  </si>
  <si>
    <t>TRANSPORTE ESC</t>
  </si>
  <si>
    <t xml:space="preserve">PREPARO </t>
  </si>
  <si>
    <t>TUBULAÇÃO 600</t>
  </si>
  <si>
    <t>TUBULAÇÃO 800</t>
  </si>
  <si>
    <t>TUBULAÇÃO 1000</t>
  </si>
  <si>
    <t>TUBULAÇÃO 1200</t>
  </si>
  <si>
    <t>TUBULAÇÃO 1500</t>
  </si>
  <si>
    <t>$</t>
  </si>
  <si>
    <t>DRENAGEM PROFUNDA</t>
  </si>
  <si>
    <t>PAVIMENTAÇÃO</t>
  </si>
  <si>
    <t>MEIO FIO / SARJETA</t>
  </si>
  <si>
    <t>CALÇADA</t>
  </si>
  <si>
    <t>DEMOLIÇÃO</t>
  </si>
  <si>
    <t>ENTULHO</t>
  </si>
  <si>
    <t>SARJETA</t>
  </si>
  <si>
    <t>MEIO FIO</t>
  </si>
  <si>
    <t>C = A x (B+1)</t>
  </si>
  <si>
    <t>LISTA DE RUAS (DADOS GERAIS)</t>
  </si>
  <si>
    <t>Ø 1500</t>
  </si>
  <si>
    <t>Ø 1200</t>
  </si>
  <si>
    <t>Ø 1000</t>
  </si>
  <si>
    <t>Ø 800</t>
  </si>
  <si>
    <t>95877</t>
  </si>
  <si>
    <t>Transporte com caminhão basculante 18 m³, em via urbana pavimentada até DMT 30 km. AF_07/2020</t>
  </si>
  <si>
    <t>m³ x Km</t>
  </si>
  <si>
    <t>E = C x D</t>
  </si>
  <si>
    <t>G = E x 1,3 x DMT</t>
  </si>
  <si>
    <t>M</t>
  </si>
  <si>
    <t>L = I x 1,3 x DMT</t>
  </si>
  <si>
    <t>Aterro arenoso</t>
  </si>
  <si>
    <t>EXECUÇÃO E COMPACTAÇÃO (m³)</t>
  </si>
  <si>
    <t xml:space="preserve">CÓDIGO DESONERADO </t>
  </si>
  <si>
    <t>Locação de pavimentação. AF_10/2018</t>
  </si>
  <si>
    <t>95995</t>
  </si>
  <si>
    <t>Execução de pavimento com aplicação de concreto asfáltico, camada de rolamento - exclusive carga e transporte. AF_11/2019</t>
  </si>
  <si>
    <t>M³</t>
  </si>
  <si>
    <t>Øext  + 0,5</t>
  </si>
  <si>
    <t>ROLO COMPACTADOR DE PNEUS ESTÁTICO, PRESSÃO VARIÁVEL, POTÊNCIA 111 HP, PESO SEM/COM LASTRO 9,5 / 26 T, LARGURA DE TRABALHO 1,90 M - CHI DIURNO. AF_07/2014</t>
  </si>
  <si>
    <t>ROLO COMPACTADOR DE PNEUS ESTÁTICO, PRESSÃO VARIÁVEL, POTÊNCIA 111 HP, PESO SEM/COM LASTRO 9,5 / 26 T, LARGURA DE TRABALHO 1,90 M - CHP DIURNO. AF_07/2014</t>
  </si>
  <si>
    <t>TRATOR DE PNEUS COM POTÊNCIA DE 122 CV, TRAÇÃO 4X4, COM GRADE DE DISCOS ACOPLADA - CHI DIURNO. AF_02/2017</t>
  </si>
  <si>
    <t>TRATOR DE PNEUS COM POTÊNCIA DE 122 CV, TRAÇÃO 4X4, COM GRADE DE DISCOS ACOPLADA - CHP DIURNO. AF_02/2017</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</si>
  <si>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</si>
  <si>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CHP DIURNO. AF_06/2014</t>
  </si>
  <si>
    <t>00006079</t>
  </si>
  <si>
    <t>ARGILA, ARGILA VERMELHA OU ARGILA ARENOSA (RETIRADA NA JAZIDA, SEM TRANSPORTE)</t>
  </si>
  <si>
    <t>D – Serviços</t>
  </si>
  <si>
    <t>100980</t>
  </si>
  <si>
    <t>D - Custo Total de Serviços:</t>
  </si>
  <si>
    <t>Serviços</t>
  </si>
  <si>
    <t>[transportar subtotal D]</t>
  </si>
  <si>
    <t>A+B+C+D</t>
  </si>
  <si>
    <t>7.5</t>
  </si>
  <si>
    <t>VI</t>
  </si>
  <si>
    <t>1,5 ≤ H ≥ 3,0 e 1,5 ≤ L ≥ 2,5</t>
  </si>
  <si>
    <t>CBUQ (m³)</t>
  </si>
  <si>
    <t>REATERRO</t>
  </si>
  <si>
    <t>Escoramento de vala, tipo descontínuo, com profundidade de 1,5 A 3,0 m, largura maior ou igual A 1,5 M e menor que 2,5 M. AF_08/2020</t>
  </si>
  <si>
    <t>Reaterro mecanizado de vala com retroescavadeira, largura de 0,8 m até 1,5 m, profundidade até 1,5 m, com solo de 1 categoria em locais com baixo nível de interferência. AF_04/2016</t>
  </si>
  <si>
    <t>Q = E x 1,3 x DMT</t>
  </si>
  <si>
    <t>6.3</t>
  </si>
  <si>
    <t>6.4</t>
  </si>
  <si>
    <t>6.5</t>
  </si>
  <si>
    <t>6.6</t>
  </si>
  <si>
    <t>CPU - VI</t>
  </si>
  <si>
    <t>DEMONSTRAÇÕES DAS VARIÁVEIS DA FÓRMULAS ADOTADA PELO TCU</t>
  </si>
  <si>
    <t>COMPOSIÇÃO DE ENCARGOS SOCIAIS</t>
  </si>
  <si>
    <t>ENCARGOS SOCIAIS SOBRE A MÃO DE OBRA</t>
  </si>
  <si>
    <t>Reincidência de Grupo A sobre Aviso Prévio Trabalho e Reincidência do FGTS sobre Aviso Prévio Indenizado</t>
  </si>
  <si>
    <t>COMPOSIÇÃO DE TAXA DE BDI</t>
  </si>
  <si>
    <t>ADMINISTRAÇÃO CENTRAL DA OBRA - AC</t>
  </si>
  <si>
    <t>RISCO - R</t>
  </si>
  <si>
    <t>DESPESAS FINANCEIRAS - DF</t>
  </si>
  <si>
    <t>Subtotal</t>
  </si>
  <si>
    <t>SEGURO - S + GARANTIA - G</t>
  </si>
  <si>
    <t xml:space="preserve"> LUCRO - L</t>
  </si>
  <si>
    <t>DEMONSTRAÇÃO DOS TRIBUTOS FEDERAIS</t>
  </si>
  <si>
    <t>TRIBUTOS FEDERAIS - TF *</t>
  </si>
  <si>
    <t>* TF</t>
  </si>
  <si>
    <t>TRIBUTOS MUNICIPAIS - TM **</t>
  </si>
  <si>
    <t>** TM</t>
  </si>
  <si>
    <t>(A)</t>
  </si>
  <si>
    <t>(B)</t>
  </si>
  <si>
    <t>(C)</t>
  </si>
  <si>
    <t>(D)</t>
  </si>
  <si>
    <t>Serviço: Usinagem de concreto betuminoso usinado a quente (CBUQ), CAP 50/70, para capa de rolamento</t>
  </si>
  <si>
    <t>Serviço: Reforço de bordo</t>
  </si>
  <si>
    <t xml:space="preserve">A - Custo Total Mão-de-obra:                     </t>
  </si>
  <si>
    <t xml:space="preserve">B - Custo Total de Equipamentos:            </t>
  </si>
  <si>
    <t xml:space="preserve">C - Custo Total de Materiais:                </t>
  </si>
  <si>
    <t xml:space="preserve">Unidade: </t>
  </si>
  <si>
    <t>OBRA:</t>
  </si>
  <si>
    <t>VALOR DA OBRA:</t>
  </si>
  <si>
    <t>Unidade:</t>
  </si>
  <si>
    <t xml:space="preserve">SINAPI </t>
  </si>
  <si>
    <t xml:space="preserve">OBSERVAÇÃO: </t>
  </si>
  <si>
    <t xml:space="preserve">AJUSTAR QUANTIDADE DE MESES CONFORME NECESSIDADE/DEMANDA DA OBRA </t>
  </si>
  <si>
    <t>Tubo em concreto simples d= 400mm (fornecimento)</t>
  </si>
  <si>
    <t>Tubo em concreto armado d= 600mm (fornecimento)</t>
  </si>
  <si>
    <t>Tubo em concreto armado d= 800mm (fornecimento)</t>
  </si>
  <si>
    <t>Tubo em concreto armado d= 1000mm (fornecimento)</t>
  </si>
  <si>
    <t>Tubo de concreto armado para águas pluviais, classe PA-3, diâmetro nominal de 1200 mm (fornecimento)</t>
  </si>
  <si>
    <t>Tubo de concreto armado para águas pluviais, classe PA-3, diâmetro nominal de 1500 mm (fornecimento)</t>
  </si>
  <si>
    <t>Aterro incluindo carga, descarga, transporte e apiloamento (CALÇADA)</t>
  </si>
  <si>
    <t>ATERRO (m³)</t>
  </si>
  <si>
    <t xml:space="preserve">Execução e compactação de base e ou sub base para pavimentação de solo estabilizado granulometricamente sem mistura de solos - exclusive escavação, carga e transporte. AF_11/2019. </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</si>
  <si>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</si>
  <si>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CHI DIURNO. AF_08/2015</t>
  </si>
  <si>
    <t xml:space="preserve">CBAA - ASFALTOS LTDA </t>
  </si>
  <si>
    <t>DATA</t>
  </si>
  <si>
    <t>Eco- Imprima E.A.I</t>
  </si>
  <si>
    <t>EMAM ASFALTOS (Acará/PA)</t>
  </si>
  <si>
    <t>WBL - NKN</t>
  </si>
  <si>
    <t>Fresagem de pavimento asfaltico (profundidade até 5,0 cm) - exclusive transporte. AF_11/2019</t>
  </si>
  <si>
    <t>FRESAGEM (m²)</t>
  </si>
  <si>
    <t>E = D</t>
  </si>
  <si>
    <t>F = A x C x 2</t>
  </si>
  <si>
    <t>G = H x 0,43 x 0,10</t>
  </si>
  <si>
    <t>H = A x 2</t>
  </si>
  <si>
    <t>K = A x B</t>
  </si>
  <si>
    <t>Q = A x B</t>
  </si>
  <si>
    <t>TOTAL DO ITEM 9:</t>
  </si>
  <si>
    <t>SINALIZAÇÃO VIÁRIA</t>
  </si>
  <si>
    <t xml:space="preserve">Sinalização Horizontal </t>
  </si>
  <si>
    <t>SICRO</t>
  </si>
  <si>
    <t>5213405</t>
  </si>
  <si>
    <t>Pintura setas/zebrados - tinta b. acrílica - espessura 0,6 mm (manual)</t>
  </si>
  <si>
    <t>5213401</t>
  </si>
  <si>
    <t>Pintura de faixa - tinta b. acrílica - espessura - 0,4 mm (mecânica)</t>
  </si>
  <si>
    <t>Sinalização  Vertical</t>
  </si>
  <si>
    <t>5213440</t>
  </si>
  <si>
    <t>Fornecimento e implantação de placa de regulamentação em aço D = 0,60 m - película retrorrefletiva tipo I + SI</t>
  </si>
  <si>
    <t>5216111</t>
  </si>
  <si>
    <t>Fornecimento e implantação de suporte e travessa para placa de sinalização em madeira de lei tratada 8 x 8 cm</t>
  </si>
  <si>
    <t>8.1.1</t>
  </si>
  <si>
    <t>8.1.2</t>
  </si>
  <si>
    <t>8.2</t>
  </si>
  <si>
    <t>8.2.1</t>
  </si>
  <si>
    <t>8.2.2</t>
  </si>
  <si>
    <t>SARJETA (m)</t>
  </si>
  <si>
    <t>MEIO FIO (m)</t>
  </si>
  <si>
    <t>I = A x 2</t>
  </si>
  <si>
    <t>J = D + G</t>
  </si>
  <si>
    <t>L = A x B</t>
  </si>
  <si>
    <t>N= L x M</t>
  </si>
  <si>
    <t>O = N x DMT</t>
  </si>
  <si>
    <t>R = A x B</t>
  </si>
  <si>
    <t>TERRAPLENAGEM / CAIXA PRIMÁRIA</t>
  </si>
  <si>
    <t xml:space="preserve">ESCAVAÇÃO (m³) BF/ REFORÇO SUBLEITO </t>
  </si>
  <si>
    <t>TRANSPORTE (m³ x km) bf</t>
  </si>
  <si>
    <t xml:space="preserve">ESCAVAÇÃO E CARGA (m³) REFORÇO SUBLEITO </t>
  </si>
  <si>
    <t xml:space="preserve">MATERIAL (m³) REFORÇO SUBLEITO </t>
  </si>
  <si>
    <t>TRANSPORTE (m³ x km) &lt;30KM</t>
  </si>
  <si>
    <t>TRANSPORTE (m³ x km) &gt;30KM</t>
  </si>
  <si>
    <t xml:space="preserve">COMPACTAÇÃO (m³) REFORÇO SUBLEITO </t>
  </si>
  <si>
    <t>H = C x D</t>
  </si>
  <si>
    <t>I = F x 1,3 x DMT</t>
  </si>
  <si>
    <t>J = H</t>
  </si>
  <si>
    <t>5.5</t>
  </si>
  <si>
    <t>5.6</t>
  </si>
  <si>
    <t>5.7</t>
  </si>
  <si>
    <t>Escavacao e carga material 1a categoria, utilizando trator de esteiras de 110 a 160hp com lamina, peso operacional * 13t e pa carregadeira com 170 hp.</t>
  </si>
  <si>
    <t>Transporte com caminhão basculante de 6 m3, em via urbana pavimentada, dmt até 30 km (unidade: m3xkm). Af_01/2018</t>
  </si>
  <si>
    <t>Argila, argila vermelha ou argila arenosa (retirada na jazida, sem transporte)</t>
  </si>
  <si>
    <t>Transporte com caminhão basculante de 18 m3, em via urbana pavimentada , dmt até 30 km (unidade: m3xkm). Af_12/2016</t>
  </si>
  <si>
    <t>Transporte com caminhão basculante de 18 m3, em via urbana pavimentada, dmt acima de 30km (unidade: m3xkm). Af_04/2016</t>
  </si>
  <si>
    <t>Execução e compactação de aterro com solo predominantemente argiloso - exclusive escavação, carga e transporte e solo. Af_09/2017</t>
  </si>
  <si>
    <t>m³ x km</t>
  </si>
  <si>
    <t>REMENDO PROFUNDO</t>
  </si>
  <si>
    <t>DEMOLIÇÃO PAV</t>
  </si>
  <si>
    <t>H = A x B x %</t>
  </si>
  <si>
    <t>I = A x B x 0,70 x %</t>
  </si>
  <si>
    <t>K = (H+J) x 0,05 + I</t>
  </si>
  <si>
    <t>L = J x 1,3 x DMT</t>
  </si>
  <si>
    <t>101835</t>
  </si>
  <si>
    <t>Recomposição de base e ou sub-base para remendo profundo de brita gruada simples - incluso retirada e colocação do material. Af_12/2020</t>
  </si>
  <si>
    <t>97636</t>
  </si>
  <si>
    <t>Demolição parcial de pavimento asfáltico, de forma mecanizada, sem reaproveitamento. Af_12/2017</t>
  </si>
  <si>
    <t>Carga e descarga mecanizadas de entulho em caminhao basculante 6 m3</t>
  </si>
  <si>
    <t>FRESAGEM</t>
  </si>
  <si>
    <t>RECOMPOSIÇÃO</t>
  </si>
  <si>
    <t>TRANSPORTE</t>
  </si>
  <si>
    <t>CARGA</t>
  </si>
  <si>
    <t>7.7</t>
  </si>
  <si>
    <t>VIAS</t>
  </si>
  <si>
    <t>ÁREA</t>
  </si>
  <si>
    <t>OBSERVAÇÃO 2 JENIFFER: APENAS """"OCULTAR"""" OS ITENS E LINHAS DA MEMÓRIA QUE NÃO SERÃO CONTEMPLADOS, INCLUSIVE AS GUIAS!</t>
  </si>
  <si>
    <t>OBSERVAÇÃO 3 JENIFFER: NÃO ENCAMINHAR JUNTO AO PROCESSO OS DADOS DE VALORES POR RUA</t>
  </si>
  <si>
    <t>OBSERVAÇÃO 4 JENIFFER: SE UM NOVO ITEM (SERVIÇO) FOR ADICIONADO À PLANILHA, DEVERÁ INCLUIR O $ UNIT (C/ BDI) DO MESMO NO CÁLCULO DE VALOR POR RUA</t>
  </si>
  <si>
    <t>SERVIÇOS DE DRENAGEM PROFUNDA</t>
  </si>
  <si>
    <t>SERVIÇOS DE DRENAGEM SUPERFICIAL</t>
  </si>
  <si>
    <t>D = AxBxC</t>
  </si>
  <si>
    <t>F = E x empolamento 25% x DMT</t>
  </si>
  <si>
    <t>G = AxB</t>
  </si>
  <si>
    <t>H = G</t>
  </si>
  <si>
    <t>I = (πxr²)xA</t>
  </si>
  <si>
    <t>E = I</t>
  </si>
  <si>
    <t>J = (D - I) x 70%</t>
  </si>
  <si>
    <t>K = (D - I) x 30%</t>
  </si>
  <si>
    <t>L = AxCx2</t>
  </si>
  <si>
    <t>M = A</t>
  </si>
  <si>
    <t>((Øext +0,6)+((Øext +0,6)+(Ax0,5%)))/2</t>
  </si>
  <si>
    <t>ESCAVAÇÃO (m³)             BF</t>
  </si>
  <si>
    <t>ESPESSURA DE ATERRO (m)</t>
  </si>
  <si>
    <t xml:space="preserve">ESCAVAÇÃO E MATERIAL (m³) REFORÇO SUBLEITO </t>
  </si>
  <si>
    <t>ESPALHAMENTO (m³)</t>
  </si>
  <si>
    <t>K</t>
  </si>
  <si>
    <t>L = C x K</t>
  </si>
  <si>
    <t>M = L</t>
  </si>
  <si>
    <t>N = L x 1,3 x DMT</t>
  </si>
  <si>
    <t>O</t>
  </si>
  <si>
    <t>P = C x O</t>
  </si>
  <si>
    <t>Q = P</t>
  </si>
  <si>
    <t>P = N</t>
  </si>
  <si>
    <t>R = P x 1,3 x DMT</t>
  </si>
  <si>
    <t>Escavacao e carga material 1a categoria, utilizando trator de esteiras de 110 a 160hp com lamina, peso operacional * 13t e pa carregadeira com 170 hp.  (Jazida)</t>
  </si>
  <si>
    <t>5.8</t>
  </si>
  <si>
    <t>ESCAVAÇÃO JAZIDA</t>
  </si>
  <si>
    <t>6.7</t>
  </si>
  <si>
    <t>6.8</t>
  </si>
  <si>
    <t>ESCAVAÇÃO E CARGA (m³)  (m³)</t>
  </si>
  <si>
    <t>ESCAVAÇÃO E CARGA (m³)</t>
  </si>
  <si>
    <t>TRANSPORTE  (m³ x km) &lt;30KM</t>
  </si>
  <si>
    <t>Discriminação</t>
  </si>
  <si>
    <t>OBJETO:</t>
  </si>
  <si>
    <t xml:space="preserve">REF - SINAPI </t>
  </si>
  <si>
    <t xml:space="preserve">Serviço: </t>
  </si>
  <si>
    <t>Custo Total</t>
  </si>
  <si>
    <t>Totais</t>
  </si>
  <si>
    <t>DEMONSTRAÇÃO DE COEFICIENTE</t>
  </si>
  <si>
    <t>meses</t>
  </si>
  <si>
    <t>total</t>
  </si>
  <si>
    <t>Referência</t>
  </si>
  <si>
    <t>Engenheiro civil de obra pleno com encargos complementares</t>
  </si>
  <si>
    <t>Encarregado geral com encargos complementares</t>
  </si>
  <si>
    <t>Topógrafo</t>
  </si>
  <si>
    <t xml:space="preserve">Auxiliar de topográfo </t>
  </si>
  <si>
    <t>Trator de pneus, potência 85 cv, tração 4x4, peso com lastro de 4.675 kg - chp diurno. Af_06/2014</t>
  </si>
  <si>
    <t>Trator de pneus, potência 85 cv, tração 4x4, peso com lastro de 4.675 kg - chi diurno. Af_06/2014</t>
  </si>
  <si>
    <t>Pedregulho ou picarra de jazida, ao natural, para base de pavimentacao</t>
  </si>
  <si>
    <t>Vassoura mecânica rebocável com escova cilíndrica, largura útil de varrimento de 2,44 m - chp diurno. Af_06/2014</t>
  </si>
  <si>
    <t>Vassoura mecânica rebocável com escova cilíndrica, largura útil de varrimento de 2,44 m - chi diurno. Af_06/2014</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</si>
  <si>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</si>
  <si>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chi diurno. Af_08/2015</t>
  </si>
  <si>
    <t>Emulsao asfaltica cationica rr-2c para uso em pavimentacao asfaltica (coletado caixa na anp acrescido de icms)</t>
  </si>
  <si>
    <t>ASFALTO DILUIDO DE PETROLEO CM-30 (COLETADO CAIXA NA ANP ACRESCIDO DE ICMS)</t>
  </si>
  <si>
    <t>I - (CPRB/100)</t>
  </si>
  <si>
    <t>(1 - I)=</t>
  </si>
  <si>
    <t>RECUPERAÇÃO DE BL</t>
  </si>
  <si>
    <t>Recuperação de PV´s ou Caixas de águas pluviais para bueiros simples</t>
  </si>
  <si>
    <t>Recuperação de BL´s simples</t>
  </si>
  <si>
    <t>REF - SEDOP</t>
  </si>
  <si>
    <t>VII</t>
  </si>
  <si>
    <t xml:space="preserve">UN </t>
  </si>
  <si>
    <t>AJUDANTE DE PEDREIRO COM ENCARGOS COMPLEMENTARES</t>
  </si>
  <si>
    <t>C – Materiais / Serviços</t>
  </si>
  <si>
    <t>Retirada de entulho - manualmente (incluindo caixa coletora)</t>
  </si>
  <si>
    <t>Concreto armado Fck=15 MPA c/forma mad. branca (incl. lançamento e adensamento)</t>
  </si>
  <si>
    <t>Escavação manual ate 1.50m de profundidade</t>
  </si>
  <si>
    <t>Reaterro compactado</t>
  </si>
  <si>
    <t>Alvenaria tijolo de barro a singelo</t>
  </si>
  <si>
    <t>H00292</t>
  </si>
  <si>
    <t>Tubo em concreto armado d=1000mm</t>
  </si>
  <si>
    <t xml:space="preserve">un </t>
  </si>
  <si>
    <t>H00240</t>
  </si>
  <si>
    <t>Tampao de fo fo d = 0,80m</t>
  </si>
  <si>
    <t>REF - SINAPI</t>
  </si>
  <si>
    <t>RETROESCAVADEIRA SOBRE RODAS COM CARREGADEIRA, TRAÇÃO 4X4, POTÊNCIA LÍQ. 8 CHP 
8 HP, CAÇAMBA CARREG. CAP. MÍN. 1 M3, CAÇAMBA RETRO CAP. 0,26 M3, PESO OPE
RACIONAL MÍN. 6.674 KG, PROFUNDIDADE ESCAVAÇÃO MÁX. 4,37 M -  DIURNO. A
F_06/2014</t>
  </si>
  <si>
    <t>CANALETA DE CONCRETO 19 X 19 X 19 CM (CLASSE C - NBR 6136)</t>
  </si>
  <si>
    <t>PONTALETE *7,5 X 7,5* CM EM PINUS, MISTA OU EQUIVALENTE DA REGIAO - BRUTA</t>
  </si>
  <si>
    <t>SARRAFO *2,5 X 7,5* CM EM PINUS, MISTA OU EQUIVALENTE DA REGIAO - BRUTA</t>
  </si>
  <si>
    <t>PREGO DE ACO POLIDO COM CABECA 17 X 27 (2 1/2 X 11)</t>
  </si>
  <si>
    <t>BLOCO DE CONCRETO ESTRUTURAL 19 X 19 X 39 CM, FBK 4,5 MPA (NBR 6136)</t>
  </si>
  <si>
    <t>ARGAMASSA TRAÇO 1:4 (EM VOLUME DE CIMENTO E AREIA GROSSA ÚMIDA) PARA CHAPISCO CONVENCIONAL, PREPARO MECÂNICO COM BETONEIRA 400 L. AF_08/2019</t>
  </si>
  <si>
    <t>ARGAMASSA TRAÇO 1:3 (EM VOLUME DE CIMENTO E AREIA MÉDIA ÚMIDA), PREPARO MECÂNICO COM BETONEIRA 400 L. AF_08/2019</t>
  </si>
  <si>
    <t>GRAUTEAMENTO VERTICAL EM ALVENARIA ESTRUTURAL. AF_09/2021</t>
  </si>
  <si>
    <t>GRAUTEAMENTO DE CINTA SUPERIOR OU DE VERGA EM ALVENARIA ESTRUTURAL. AF_09/2021</t>
  </si>
  <si>
    <t>ARMAÇÃO DE CINTA DE ALVENARIA ESTRUTURAL; DIÂMETRO DE 10,0 MM. AF_09/2021</t>
  </si>
  <si>
    <t>RECUPERAÇÃO DE PV´S</t>
  </si>
  <si>
    <t>DATA BASE: SEDOP - MAIO/2023 ; SINAPI - agosto/2023 ; ORSE - JUNHO/2023; SICRO - ABRIL/2023.</t>
  </si>
  <si>
    <t>9.1</t>
  </si>
  <si>
    <t>OBRAS DE ARTES ESPECIAIS</t>
  </si>
  <si>
    <t>und</t>
  </si>
  <si>
    <t>PROJETO SANEAR ANANINDEUA - JADERLÂNDIA/MAGUARIAÇÚ</t>
  </si>
  <si>
    <t>DESCRIÇÃO E CÁLCULO</t>
  </si>
  <si>
    <t>QUANT.</t>
  </si>
  <si>
    <t xml:space="preserve">PONTE </t>
  </si>
  <si>
    <t>1</t>
  </si>
  <si>
    <t>SERVIÇOS INICIAIS</t>
  </si>
  <si>
    <t>Locação da Obra, com uso de Equipamentos Topográficos, inclusive nivelador</t>
  </si>
  <si>
    <t>m2</t>
  </si>
  <si>
    <t>COMPRIMENTO</t>
  </si>
  <si>
    <t>ALTURA</t>
  </si>
  <si>
    <t>FUNDAÇÕES</t>
  </si>
  <si>
    <t>ESTACAS</t>
  </si>
  <si>
    <t>QUANT</t>
  </si>
  <si>
    <t>7</t>
  </si>
  <si>
    <t>BLOCOS DE COROAMENTO</t>
  </si>
  <si>
    <t>Execucao De Cimbramento Para Escoramento De Formas Elevadas De Madeira (Lajes E Vigas), Acima De 3,30 M De Pe Direito, Com Pontaletes (8,0 X 8,0 Cm) De Madeira De Lei 1A Qualidade E Pecas De Madeira De 2,5 X 10,0 Cm De 2A Qualidade, Nao Aparelhada.</t>
  </si>
  <si>
    <t>FUNDO</t>
  </si>
  <si>
    <t>Kg</t>
  </si>
  <si>
    <t>9</t>
  </si>
  <si>
    <t>9.2</t>
  </si>
  <si>
    <t>10</t>
  </si>
  <si>
    <t>10.1</t>
  </si>
  <si>
    <t>10.2</t>
  </si>
  <si>
    <t>10.3</t>
  </si>
  <si>
    <t xml:space="preserve"> </t>
  </si>
  <si>
    <t>UND</t>
  </si>
  <si>
    <t>P UNIT S/ BDI</t>
  </si>
  <si>
    <t>P UNIT C/ BDI</t>
  </si>
  <si>
    <t>PREÇO TOTAL</t>
  </si>
  <si>
    <t>LOCACAO CONVENCIONAL DE OBRA, UTILIZANDO GABARITO DE TÁBUAS CORRIDAS PONTALETADAS A CADA 2,00M - 2 UTILIZAÇÕES. AF_10/2018</t>
  </si>
  <si>
    <t>FABRICAÇÃO, MONTAGEM E DESMONTAGEM DE FÔRMA PARA BLOCO DE COROAMENTO, EM CHAPA DE MADEIRA COMPENSADA RESINADA, E=17 MM, 2 UTILIZAÇÕES. AF_06/2017</t>
  </si>
  <si>
    <t>ARMAÇÃO DE BLOCO, VIGA BALDRAME E SAPATA UTILIZANDO AÇO CA-60 DE 5 MM</t>
  </si>
  <si>
    <t>kg</t>
  </si>
  <si>
    <t>CONCRETAGEM DE BLOCOS DE COROAMENTO E VIGAS BALDRAMES, FCK 30 MPA, COM USO DE BOMBA LANÇAMENTO, ADENSAMENTO E ACABAMENTO.</t>
  </si>
  <si>
    <t>PILARES</t>
  </si>
  <si>
    <t xml:space="preserve">Já esta incluso na armação dos blocos </t>
  </si>
  <si>
    <t>LONGARINAS E TRANSVERSINAS</t>
  </si>
  <si>
    <t>FABRICAÇÃO DE FÔRMA PARA VIGAS, EM CHAPA DE MADEIRA COMPENSADA PLASTIFICADA, E = 18 MM.</t>
  </si>
  <si>
    <t>ARMAÇÃO DE PILAR OU VIGA DE UMA ESTRUTURA CONVENCIONAL DE CONCRETO ARMADO EM UMA EDIFICAÇÃO TÉRREA OU SOBRADO UTILIZANDO AÇO CA-50 DE 8,0 MM - MONTAGEM. AF_12/2015</t>
  </si>
  <si>
    <t>CONCRETO USINADO BOMBEAVEL, CLASSE DE RESISTENCIA C30, COM BRITA 0 E 1, SLUMP =100 +/- 20 MM, INCLUI SERVICO DE BOMBEAMENTO (NBR 8953)</t>
  </si>
  <si>
    <t>LAJE DE PLATAFORMA</t>
  </si>
  <si>
    <t>ESCORAMENTO DE VALA, TIPO CONTÍNUO COM PERFIL METÁLICO "U", COM PROFUNDIDADE DE 3,0 A 4,5 M, LARGURA MAIOR OU IGUAL A 1,5 M E MENOR QUE 2,5</t>
  </si>
  <si>
    <t>FABRICAÇÃO DE FÔRMA PARA LAJES, EM CHAPA DE MADEIRA COMPENSADA PLASTIFICADA, E = 18 MM.</t>
  </si>
  <si>
    <t>ESCORAMENTO DE FÔRMAS DE LAJE EM MADEIRA NÃO APARELHADA, PÉ-DIREITO DUPLO, INCLUSO TRAVAMENTO, 4 UTILIZAÇÕES. AF_09/2020</t>
  </si>
  <si>
    <t>Laje de transição</t>
  </si>
  <si>
    <t>FUNDAÇÃO</t>
  </si>
  <si>
    <t>ESTACA PRÉ-MOLDADA DE CONCRETO, SEÇÃO QUADRADA, CAPACIDADE DE 50 TONELADAS, COMPRIMENTO TOTAL CRAVADO ACIMA DE 5M ATÉ 12M, BATE-ESTACAS POR GRAVIDADE SOBRE ROLOS (EXCLUSIVE MOBILIZAÇÃO E DESMOBILIZAÇÃO)</t>
  </si>
  <si>
    <t>Mobilização e desmobilização de bate-estaca</t>
  </si>
  <si>
    <t>unid</t>
  </si>
  <si>
    <t>CORTINA DE CONTENÇÃO DE CABECEIRAS</t>
  </si>
  <si>
    <t>ALA DE CONTENÇÃO</t>
  </si>
  <si>
    <t>GUARDA-CORPO</t>
  </si>
  <si>
    <t>LIMPEZA GERA FINAL</t>
  </si>
  <si>
    <t>Limpeza Final Da Obra</t>
  </si>
  <si>
    <t>PONTE - 1; 2 ; 3 e 4</t>
  </si>
  <si>
    <t>DIMENÇÕES</t>
  </si>
  <si>
    <t>TOTAL (m)</t>
  </si>
  <si>
    <t xml:space="preserve">COMPRIMENTO </t>
  </si>
  <si>
    <t>9,40 x 20,0</t>
  </si>
  <si>
    <t>QUANTIDADE</t>
  </si>
  <si>
    <t>Forma Tabuas Madeira 3A P/ Pecas Concreto Arm, Reapr 2X, Incl Montagem E Desmontagem.</t>
  </si>
  <si>
    <t>FORMA DOS BLOCOS</t>
  </si>
  <si>
    <t>COMPRIMENTO (m)</t>
  </si>
  <si>
    <t>LARGURA  (m)</t>
  </si>
  <si>
    <t>TOTAL ( M² )</t>
  </si>
  <si>
    <t>LATERAIS</t>
  </si>
  <si>
    <t>PERIMETRO DAS LATERAIS (m)</t>
  </si>
  <si>
    <t xml:space="preserve">ALTURA </t>
  </si>
  <si>
    <t xml:space="preserve"> TOTAL  GERAL</t>
  </si>
  <si>
    <t>Armacao De Aco Ca-60 Diam. 3,4 A 6,0Mm.- Fornecimento / Corte (C/Perda De 10%) / Dobra / Colocacao.</t>
  </si>
  <si>
    <t>ARMAÇÃO DOS BLOCOS  ( Kg )</t>
  </si>
  <si>
    <t>VER PROJETO - FUN / 03   ( PRANCHA 03/04 )</t>
  </si>
  <si>
    <t>→</t>
  </si>
  <si>
    <t>TOTAL ( MENOS OS 10% DE PROJETO )</t>
  </si>
  <si>
    <t>Concreto Usinado Bombeado Fck=25Mpa, Inclusive Lancamento E Adensamento</t>
  </si>
  <si>
    <t xml:space="preserve">CONCRETO DOS BLOCOS </t>
  </si>
  <si>
    <t>TOTAL ( M³ )</t>
  </si>
  <si>
    <t xml:space="preserve"> TOTAL </t>
  </si>
  <si>
    <t>ARMAÇÃO DOS PILARES  ( Kg )</t>
  </si>
  <si>
    <t>VER PROJETO - PRANCHA 01/03</t>
  </si>
  <si>
    <t>LONGARINAS E TRASVERSINAS</t>
  </si>
  <si>
    <t>FORMA DAS VIGAS</t>
  </si>
  <si>
    <t>LONGARINAS</t>
  </si>
  <si>
    <t>PERIMETRO DA SEÇAO DE FORMA</t>
  </si>
  <si>
    <t>TRANSVERSINAS</t>
  </si>
  <si>
    <t>Armacao Aco Ca-50 Diam.16,0 (5/8) À 25,0Mm (1) - Fornecimento/ Corte(Perda De 10%) / Dobra / Colocação.</t>
  </si>
  <si>
    <t>VER PROJETO - PRANCHA EST. 02/03</t>
  </si>
  <si>
    <t>CONCRETO DAS VIGAS</t>
  </si>
  <si>
    <t>11</t>
  </si>
  <si>
    <t>LAJE DE PLATARFORMA</t>
  </si>
  <si>
    <t>11.1</t>
  </si>
  <si>
    <t xml:space="preserve">Escoramento De Valas Continuo </t>
  </si>
  <si>
    <t>ESCORAMENTO DE VALAS</t>
  </si>
  <si>
    <t>ALTURA (m)</t>
  </si>
  <si>
    <t>11.2</t>
  </si>
  <si>
    <t>FORMA DAS LAJES</t>
  </si>
  <si>
    <t>LAJES</t>
  </si>
  <si>
    <t>L1</t>
  </si>
  <si>
    <t>L2</t>
  </si>
  <si>
    <t>L3</t>
  </si>
  <si>
    <t>L4</t>
  </si>
  <si>
    <t>L5</t>
  </si>
  <si>
    <t>L6</t>
  </si>
  <si>
    <t>L7</t>
  </si>
  <si>
    <t>L8</t>
  </si>
  <si>
    <t>L9</t>
  </si>
  <si>
    <t>L10</t>
  </si>
  <si>
    <t>L11</t>
  </si>
  <si>
    <t>L12</t>
  </si>
  <si>
    <t>L13</t>
  </si>
  <si>
    <t>L14</t>
  </si>
  <si>
    <t>L15</t>
  </si>
  <si>
    <t>L16</t>
  </si>
  <si>
    <t>L17</t>
  </si>
  <si>
    <t>L18</t>
  </si>
  <si>
    <t>L19</t>
  </si>
  <si>
    <t>L20</t>
  </si>
  <si>
    <t>11.3</t>
  </si>
  <si>
    <t>ARMAÇÃO DAS LAJES  ( Kg )</t>
  </si>
  <si>
    <t>VER PROJETO - PRANCHA EST 001. ( PRANCHA  01/02)</t>
  </si>
  <si>
    <t>11.4</t>
  </si>
  <si>
    <t>CONCRETO DAS LAJES</t>
  </si>
  <si>
    <t>11.5</t>
  </si>
  <si>
    <t>LIMPEZA GERAL</t>
  </si>
  <si>
    <t>COMPRIMENTO ( M )</t>
  </si>
  <si>
    <t>LARGURA ( M )</t>
  </si>
  <si>
    <t>ALTURA MÉDIA ( M )                [ ( 3,56+5,10+4,84 ) /3 ]</t>
  </si>
  <si>
    <t>TOTAL ( m³ )</t>
  </si>
  <si>
    <t>12</t>
  </si>
  <si>
    <t>COMPLEMENTOS</t>
  </si>
  <si>
    <t>12.1</t>
  </si>
  <si>
    <t>Laje de Transição</t>
  </si>
  <si>
    <t>LAJE DE TRANSIÇÃO   (  m³  )</t>
  </si>
  <si>
    <t>AREA DA LAJE</t>
  </si>
  <si>
    <t>13</t>
  </si>
  <si>
    <t>13.1</t>
  </si>
  <si>
    <t>Estaca Premoldada Concreto Armado 25T Incl Cravacao/Emendas</t>
  </si>
  <si>
    <t>36 x 10,0</t>
  </si>
  <si>
    <t>COMPRIMENTO DAS  ESTACAS</t>
  </si>
  <si>
    <t>13.2</t>
  </si>
  <si>
    <t>14</t>
  </si>
  <si>
    <t>14.1</t>
  </si>
  <si>
    <t>FORMA</t>
  </si>
  <si>
    <t>LADO DIREITO</t>
  </si>
  <si>
    <t>PERIMETRO DAS LATERAIS</t>
  </si>
  <si>
    <t>LADO ESQUERDO</t>
  </si>
  <si>
    <t>14.2</t>
  </si>
  <si>
    <t>ARMAÇÃO DAS CORTINAS DE CONTENÇÃO  ( Kg )</t>
  </si>
  <si>
    <t>VER PROJETO - PRANCHA EST.01  01/01</t>
  </si>
  <si>
    <t>14.3</t>
  </si>
  <si>
    <t>CONCRETO</t>
  </si>
  <si>
    <t>15</t>
  </si>
  <si>
    <t>ALAS DE CONTENÇÃO</t>
  </si>
  <si>
    <t>15.1</t>
  </si>
  <si>
    <t>FORMA DAS ALAS</t>
  </si>
  <si>
    <t>15.2</t>
  </si>
  <si>
    <t>ARMAÇÃO DAS ALAS DE CONTENÇÃO  ( Kg )</t>
  </si>
  <si>
    <t>VER PROJETO - PRANCHA EST 1.  01/01</t>
  </si>
  <si>
    <t>15.3</t>
  </si>
  <si>
    <t>CONCRETO DAS ALAS</t>
  </si>
  <si>
    <t>16</t>
  </si>
  <si>
    <t>GUARDA - CORPO</t>
  </si>
  <si>
    <t>16.1</t>
  </si>
  <si>
    <t>FORMA GUARDA- CORPO</t>
  </si>
  <si>
    <t>PERIMETRO DA SEÇÃO</t>
  </si>
  <si>
    <t>VIGAS</t>
  </si>
  <si>
    <t>16.2</t>
  </si>
  <si>
    <t>VER DETALHE A CIMA</t>
  </si>
  <si>
    <t>16.3</t>
  </si>
  <si>
    <t xml:space="preserve">SEÇÃO DO PILAR </t>
  </si>
  <si>
    <t>SEÇÃO DA VIGA</t>
  </si>
  <si>
    <t>17</t>
  </si>
  <si>
    <t>LIMPEZA GERAL FINAL</t>
  </si>
  <si>
    <t>17.1</t>
  </si>
  <si>
    <t>M²</t>
  </si>
  <si>
    <t>EXECUÇÃO DE SERVIÇOS DE OBRA DE ARTE, NO MUNICÍPIO DE ANANINDEUA/PA.</t>
  </si>
  <si>
    <t>OBRAS DE ARTE</t>
  </si>
  <si>
    <t>RESUMO</t>
  </si>
  <si>
    <t>EXTENSÃO (M)</t>
  </si>
  <si>
    <t>EXECUÇÃO DOS SERVIÇOS DE INFRAESTRUTURA E PREVENÇÃO DE INUNDAÇÕES NO MUNICÍPIO DE ANANINDEUA - PA.</t>
  </si>
  <si>
    <t>INFRAESTRUTURA E PREVENÇÃO DE INUNDAÇÕES</t>
  </si>
  <si>
    <t>PREVENÇÃO DE INUNDAÇÕES</t>
  </si>
  <si>
    <t>ÓRGÃO:</t>
  </si>
  <si>
    <t>SECRETARIA MUNICPAL DE SANEAMENTO E INFRAESTRUTURA - SESAN/PMA</t>
  </si>
  <si>
    <t>EDITAL:</t>
  </si>
  <si>
    <t>PROC. Nº:</t>
  </si>
  <si>
    <t>EXECUÇÃO DAS OBRAS DE IMPLANTAÇÃO DO CANAL DA CIDADE NOVA VI - TRECHO 2, TRECHO ENTRE SN21 E RUA DO CAJUÍ</t>
  </si>
  <si>
    <t>C.R. / O.C.:</t>
  </si>
  <si>
    <t>BASE:</t>
  </si>
  <si>
    <t>MUNICÍPIO:</t>
  </si>
  <si>
    <t>ANANINDEUA/PA</t>
  </si>
  <si>
    <t>BDI:</t>
  </si>
  <si>
    <t>PLANILHA:</t>
  </si>
  <si>
    <t>PROPONENTE:</t>
  </si>
  <si>
    <t>SINAPI /SICRO/SEDOP</t>
  </si>
  <si>
    <t>DESRIÇÃO/ESPECIFICAÇÕES</t>
  </si>
  <si>
    <t>P. UNIT. ATUAL</t>
  </si>
  <si>
    <t>VALOR (R$)</t>
  </si>
  <si>
    <t xml:space="preserve"> S/ BDI</t>
  </si>
  <si>
    <t xml:space="preserve"> C/ BDI</t>
  </si>
  <si>
    <t>1.0</t>
  </si>
  <si>
    <t>ADMINISTRAÇÃO, MOBILIZAÇÃO, DESMOBILIZAÇÃO E CANTEIRO DE OBRAS</t>
  </si>
  <si>
    <t>Composição 1</t>
  </si>
  <si>
    <t>ADMINISTRAÇÃO LOCAL DA OBRA</t>
  </si>
  <si>
    <t>MÊS</t>
  </si>
  <si>
    <t>Composição 2</t>
  </si>
  <si>
    <t>Locação Topográfica</t>
  </si>
  <si>
    <t>MOBILIZAÇÃO E DESMOBILIZAÇÃO DA OBRA</t>
  </si>
  <si>
    <t>1.3.1</t>
  </si>
  <si>
    <t>Composição 3</t>
  </si>
  <si>
    <t>Mobilização da Obra</t>
  </si>
  <si>
    <t>UN</t>
  </si>
  <si>
    <t>1.3.2</t>
  </si>
  <si>
    <t>Composição 4</t>
  </si>
  <si>
    <t>Desmobilização da Obra</t>
  </si>
  <si>
    <t>CANTEIRO DE OBRA</t>
  </si>
  <si>
    <t>1.4.1</t>
  </si>
  <si>
    <t>Barracao De Obra Em Chapa De Madeira Compensada Com Banheiro, Cobertura Em Fibrocimento 4 Mm, Incluso Instalacoes Hidro-Sanitarias E Eletricas</t>
  </si>
  <si>
    <t>1.4.2</t>
  </si>
  <si>
    <t>Barracao Para Deposito Em Tabuas De Madeira, Cobertura Em Fibrocimento 4 Mm,  Incluso Piso Argamassa Traço 1:6 (Cimento E Areia)</t>
  </si>
  <si>
    <t>1.4.3</t>
  </si>
  <si>
    <t>Barracao Para Refeitório Em Tabuas De Madeira, Cobertura Em Fibrocimento 4 Mm,  Incluso Piso Argamassa Traço 1:6 (Cimento E Areia)</t>
  </si>
  <si>
    <t>1.4.4</t>
  </si>
  <si>
    <t>Barracao Para Sanitários Em Tabuas De Madeira, Cobertura Em Fibrocimento 4 Mm,  Incluso Piso Argamassa Traço 1:6 (Cimento E Areia)</t>
  </si>
  <si>
    <t>1.4.5</t>
  </si>
  <si>
    <t>Fossa Septica Em Alvenaria De Tijolo Ceramico Macico Dimensoes Externas 1,90X1,10X1,40M, 1.500 Litros, Revestida Internamente Com Barra Lisa, Com Tampa Em Concreto Armado Com Espessura 8cm</t>
  </si>
  <si>
    <t>1.4.6</t>
  </si>
  <si>
    <t>Sumidouro Em Alvenaria De Tijolo Ceramico Macico Diametro 1,20M E Altura 5,00M, Com Tampa Em Concreto Armado Diametro 1,40M E Espessura 10Cm</t>
  </si>
  <si>
    <t>1.4.7</t>
  </si>
  <si>
    <t>Entrada Provisoria De Energia Eletrica Aerea Trifasica 40A Em Poste Madeira</t>
  </si>
  <si>
    <t>1.4.8</t>
  </si>
  <si>
    <t>Composição 9</t>
  </si>
  <si>
    <t>Placa De Obra Em Chapa De Aco Galvanizado</t>
  </si>
  <si>
    <t>2.0</t>
  </si>
  <si>
    <t>DESMATAMENTO E BOTA-FORA</t>
  </si>
  <si>
    <t>2.1.1</t>
  </si>
  <si>
    <t>DESMATAMENTO E LIMPEZA MECANIZADA DE TERRENO COM ARVORES ATE Ø 15CM, UTILIZANDO TRATOR DE ESTEIRAS</t>
  </si>
  <si>
    <t>2.1.2</t>
  </si>
  <si>
    <t>LIMPEZA MECANIZADA DE TERRENO COM REMOCAO DE CAMADA VEGETAL, UTILIZANDO MOTONIVELADORA</t>
  </si>
  <si>
    <t>2.1.3</t>
  </si>
  <si>
    <t>DESTOCAMENTO MECANICO DE ARVORES, Ø ATE 30CM</t>
  </si>
  <si>
    <t>2.1.4</t>
  </si>
  <si>
    <t>DESTOCAMENTO MECANICO DE ARVORES, Ø ENTRE 30 E 50CM</t>
  </si>
  <si>
    <t>2.1.5</t>
  </si>
  <si>
    <t>73871/004*</t>
  </si>
  <si>
    <t>DESTOCAMENTO MECANICO DE ARVORES, Ø MAIOR QUE 50CM</t>
  </si>
  <si>
    <t>2.1.6</t>
  </si>
  <si>
    <t>CARGA E DESCARGA MECANIZADAS DE ENTULHO EM CAMINHAO BASCULANTE 6 M3</t>
  </si>
  <si>
    <t>2.1.7</t>
  </si>
  <si>
    <t>TRANSPORTE COM CAMINHÃO BASCULANTE DE 6 M3, EM VIA URBANA PAVIMENTADA, DMT ATÉ 30 KM (UNIDADE: M3XKM). AF_01/2018</t>
  </si>
  <si>
    <t>M3xKM</t>
  </si>
  <si>
    <t>2.2</t>
  </si>
  <si>
    <t>2.2.1</t>
  </si>
  <si>
    <t>Composição 7</t>
  </si>
  <si>
    <t xml:space="preserve">DRAGAGEM - ESCAVAÇÃO SUBMERSA </t>
  </si>
  <si>
    <t>2.2.2</t>
  </si>
  <si>
    <t>Composição 5</t>
  </si>
  <si>
    <t>REMOÇÃO EM SOLO MOLE ATÉ 5,00M DE PROFUNDIDADE</t>
  </si>
  <si>
    <t>2.2.3</t>
  </si>
  <si>
    <t>2.3</t>
  </si>
  <si>
    <t>TERRAPLENAGEM TALUDES E MARGINAIS</t>
  </si>
  <si>
    <t>2.3.1</t>
  </si>
  <si>
    <t>ATERRO COM AREIA COM ADENSAMENTO HIDRAULICO (S/ TRANSPORTE AREIA)</t>
  </si>
  <si>
    <t>2.3.2.1</t>
  </si>
  <si>
    <t>TRANSPORTE COM CAMINHÃO BASCULANTE DE 18 M3, EM VIA URBANA PAVIMENTADA , DMT ATÉ 30 KM (UNIDADE: M3XKM). AF_12/2016</t>
  </si>
  <si>
    <t>2.3.2.2</t>
  </si>
  <si>
    <t>TRANSPORTE COM CAMINHÃO BASCULANTE DE 18 M3, EM VIA URBANA PAVIMENTADA, DMT ACIMA DE 30KM (UNIDADE: M3XKM). AF_04/2016</t>
  </si>
  <si>
    <t>2.3.3</t>
  </si>
  <si>
    <t>ESCAVACAO E CARGA MATERIAL 1A CATEGORIA, UTILIZANDO TRATOR DE ESTEIRAS DE 110 A 160HP COM LAMINA, PESO OPERACIONAL * 13T E PA CARREGADEIRA COM 170 HP.</t>
  </si>
  <si>
    <t>2.3.4</t>
  </si>
  <si>
    <t>2.3.5.1</t>
  </si>
  <si>
    <t>2.3.5.2</t>
  </si>
  <si>
    <t>2.3.6</t>
  </si>
  <si>
    <t>EXECUÇÃO E COMPACTAÇÃO DE ATERRO COM SOLO PREDOMINANTEMENTE ARGILOSO - EXCLUSIVE ESCAVAÇÃO, CARGA E TRANSPORTE E SOLO. AF_09/2017</t>
  </si>
  <si>
    <t>2.3.7</t>
  </si>
  <si>
    <t>Composição 6</t>
  </si>
  <si>
    <t>CAMINHO DE SERVIÇO</t>
  </si>
  <si>
    <t>2.3.8</t>
  </si>
  <si>
    <t>6205794</t>
  </si>
  <si>
    <t>MELHORAMENTO DE SOLOS COM INJEÇÃO DE CALDA DE CIMENTO</t>
  </si>
  <si>
    <t>4.0</t>
  </si>
  <si>
    <t>URBANIZAÇÃO MARGINAIS</t>
  </si>
  <si>
    <t>GUARDA-CORPO (PILARETE E TRAVESSAS)</t>
  </si>
  <si>
    <t>MONTAGEM E DESMONTAGEM DE FÔRMA DE PILARES RETANGULARES E ESTRUTURAS, EM CHAPA DE MADEIRA COMPENSADA RESINADA, 8 UTILIZAÇÕES</t>
  </si>
  <si>
    <t>ARMAÇÃO DE PILAR OU VIGA DE UMA ESTRUTURA CONVENCIONAL DE CONCRETO ARMADO, UTILIZANDO AÇO CA-50 DE 8,0 MM - MONTAGEM. AF_12/2015</t>
  </si>
  <si>
    <t>CONCRETAGEM DE PILARES, FCK = 25 MPA, COM USO DE BALDES EM EDIFICAÇÃO COM SEÇÃO MÉDIA DE PILARES MENOR OU IGUAL A 0,25 M² - LANÇAMENTO, ADENSAMENTO E ACABAMENTO. AF_12/2015</t>
  </si>
  <si>
    <t>m3</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</si>
  <si>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</si>
  <si>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</si>
  <si>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EXECUÇÃO DE SARJETA DE CONCRETO USINADO, MOLDADA IN LOCO EM TRECHO RETO, 45 CM BASE X 15 CM ALTURA. AF_06/2016</t>
  </si>
  <si>
    <t>EXECUÇÃO DE SARJETA DE CONCRETO USINADO, MOLDADA IN LOCO EM TRECHO CURVA, 45 CM BASE X 15 CM ALTURA. AF_06/2016</t>
  </si>
  <si>
    <t>EXECUÇÃO DE PASSEIO (CALÇADA) OU PISO DE CONCRETO COM CONCRETO MOLDADO IN LOCO, FEITO EM OBRA, ACABAMENTO CONVENCIONAL, NÃO ARMADO. AF_07/2016</t>
  </si>
  <si>
    <t>5</t>
  </si>
  <si>
    <t>DRENAGEM E LANÇAMENTO CANAL, DOS DISSIPADORES INCLUINDO ESPINHA.</t>
  </si>
  <si>
    <t>ESCAVAÇÃO MECANIZADA DE VALA COM PROFUNDIDADE ATÉ 1,5 M (MÉDIA ENTRE M</t>
  </si>
  <si>
    <t>5.1.1</t>
  </si>
  <si>
    <t>5.1.2</t>
  </si>
  <si>
    <t>5.1.3</t>
  </si>
  <si>
    <t>5.1.4</t>
  </si>
  <si>
    <t>REATERRO MECANIZADO DE VALA COM RETROESCAVADEIRA (CAPACIDADE DA CAÇAMBA DA RETRO: 0,26 M³ / POTÊNCIA: 88 HP), LARGURA DE 0,8 A 1,5 M, PROFUN</t>
  </si>
  <si>
    <t>5.1.5</t>
  </si>
  <si>
    <t>5.1.6</t>
  </si>
  <si>
    <t>5.1.7</t>
  </si>
  <si>
    <t>5.1.8</t>
  </si>
  <si>
    <t>5.1.9</t>
  </si>
  <si>
    <t>ESGOTAMENTO DE VALA COM BOMBA SUBMERSÍVEL. AF_12/2022</t>
  </si>
  <si>
    <t>5.1.10</t>
  </si>
  <si>
    <t>LASTRO DE VALA COM PREPARO DE FUNDO, LARGURA MENOR QUE 1,5 M, COM CAMADA DE AREIA, LANÇAMENTO MECANIZADO, EM LOCAL COM NÍVEL BAIXO DE INTERF</t>
  </si>
  <si>
    <t>5.1.11</t>
  </si>
  <si>
    <t>ESCORAMENTO DE VALA, TIPO CONTÍNUO, COM PROFUNDIDADE DE 1,5 M A 3,0 M, LARGURA MENOR QUE 1,5 M. AF_08/2020</t>
  </si>
  <si>
    <t>5.1.12</t>
  </si>
  <si>
    <t>ESCORAMENTO DE VALA, TIPO DESCONTÍNUO, COM PROFUNDIDADE DE 0 A 1,5 M,</t>
  </si>
  <si>
    <t>5.1.13</t>
  </si>
  <si>
    <t>5.1.14</t>
  </si>
  <si>
    <t>ASSENTAMENTO DE TUBO DE CONCRETO PARA REDES COLETORAS DE ÁGUAS PLUVIAIs, DIÂMETRO DE 400 MM, JUNTA RÍGIDA, INSTALADO EM LOCAL COM ALTO NÍVEL DE INTERFERÊNC</t>
  </si>
  <si>
    <t>5.1.15</t>
  </si>
  <si>
    <t>ASSENTAMENTO DE TUBO DE CONCRETO PARA REDES COLETORAS DE ÁGUAS PLUVIAIs, DIÂMETRO DE 800 MM, JUNTA RÍGIDA, INSTALADO EM LOCAL COM ALTO NÍVEL DE INTERFERÊNC</t>
  </si>
  <si>
    <t>5.1.16</t>
  </si>
  <si>
    <t>TUBO DE CONCRETO PARA REDES COLETORAS DE ÁGUAS PLUVIAIS, DIÂMETRO DE 1000 MM, JUNTA RÍGIDA, INSTALADO EM LOCAL COM BAIXO NÍVEL DE INTERFERÊNC</t>
  </si>
  <si>
    <t>5.1.17</t>
  </si>
  <si>
    <t>TUBO DE CONCRETO PARA REDES COLETORAS DE ÁGUAS PLUVIAIS, DIÂMETRO DE 1200 MM, JUNTA RÍGIDA, INSTALADO EM LOCAL COM BAIXO NÍVEL DE INTERFERÊNC</t>
  </si>
  <si>
    <t>5.1.18</t>
  </si>
  <si>
    <t>TUBO DE CONCRETO ARMADO PARA AGUAS PLUVIAIS, CLASSE PA-1, COM ENCAIXE PONTA E BOLSA, DIAMETRO NOMINAL DE 800 MM</t>
  </si>
  <si>
    <t>5.1.19</t>
  </si>
  <si>
    <t>TUBO DE CONCRETO ARMADO PARA AGUAS PLUVIAIS, CLASSE PA-3, COM ENCAIXE PONTA E BOLSA, DIAMETRO NOMINAL DE 1500 MM</t>
  </si>
  <si>
    <t>5.1.20</t>
  </si>
  <si>
    <t>ASSENTAMENTO DE TUBO DE CONCRETO PARA REDES COLETORAS DE ÁGUAS PLUVIAIs, DIÂMETRO DE 1500 MM, JUNTA RÍGIDA, INSTALADO EM LOCAL COM ALTO NÍVEL DE INTERFERÊNC</t>
  </si>
  <si>
    <t>5.1.21</t>
  </si>
  <si>
    <t>BOCA PARA BUEIRO SIMPLES TUBULAR, DIAMETRO =0,80M, EM CONCRETO CICLOPICO, INCLUINDO FORMAS, ESCAVACAO, REATERRO E MATERIAIS, EXCLUINDO MATER</t>
  </si>
  <si>
    <t>5.1.22</t>
  </si>
  <si>
    <t>BOCA PARA BUEIRO SIMPLES TUBULAR, DIAMETRO =1,00M, EM CONCRETO CICLOPICO, INCLUINDO FORMAS, ESCAVACAO, REATERRO E MATERIAIS, EXCLUINDO MATER</t>
  </si>
  <si>
    <t>5.1.23</t>
  </si>
  <si>
    <t>BOCA PARA BUEIRO SIMPLES TUBULAR, DIAMETRO =1,20M, EM CONCRETO CICLOPICO, INCLUINDO FORMAS, ESCAVACAO, REATERRO E MATERIAIS, EXCLUINDO MATER</t>
  </si>
  <si>
    <t>5.1.24</t>
  </si>
  <si>
    <t>BOCA PARA BUEIRO SIMPLES TUBULAR, DIAMETRO =1,50M, EM CONCRETO CICLOPICO, INCLUINDO FORMAS, ESCAVACAO, REATERRO E MATERIAIS, EXCLUINDO MATER</t>
  </si>
  <si>
    <t>5.1.25</t>
  </si>
  <si>
    <t>BASE PARA POÇO DE VISITA RETANGULAR PARA DRENAGEM, EM ALVENARIA COM BLOCOS DE CONCRETO, DIMENSÕES INTERNAS = 1,5X2 M, PROFUNDIDADE = 1,45 M,</t>
  </si>
  <si>
    <t>5.1.26</t>
  </si>
  <si>
    <t>ACRÉSCIMO PARA POÇO DE VISITA RETANGULAR PARA DRENAGEM, EM ALVENARIA COM BLOCOS DE CONCRETO, DIMENSÕES INTERNAS = 1,5X2 M. AF_12/2020</t>
  </si>
  <si>
    <t>5.1.27</t>
  </si>
  <si>
    <t>TAMPA CIRCULAR PARA ESGOTO E DRENAGEM, EM FERRO FUNDIDO, DIÂMETRO INTERNO = 0,6 M. AF_05/2018</t>
  </si>
  <si>
    <t>5.1.28</t>
  </si>
  <si>
    <t>CAIXA PARA BOCA DE LOBO SIMPLES RETANGULAR, EM ALVENARIA COM BLOCOS DE CONCRETO, DIMENSÕES INTERNAS: 0,6X1X1,2 M. AF_12/2020</t>
  </si>
  <si>
    <t>5.17</t>
  </si>
  <si>
    <t>ENTRADA D´ÁGUA</t>
  </si>
  <si>
    <t>5.18</t>
  </si>
  <si>
    <t>DESCIDA D’ÁGUA DE ATERROS EM DEGRAUS</t>
  </si>
  <si>
    <t>Limpeza de superfície com jato de alta pressão.AF_04/2019.</t>
  </si>
  <si>
    <t>5.19</t>
  </si>
  <si>
    <t>5.20</t>
  </si>
  <si>
    <t>5.21</t>
  </si>
  <si>
    <t>5.22</t>
  </si>
  <si>
    <t>TRANSPORTE COM CAMINHÃO BASCULANTE DE 10 M3, EM VIA URBANA PAVIMENTADA , DMT ATÉ 30 KM (UNIDADE: M3XKM). AF_12/2016</t>
  </si>
  <si>
    <t>M3XKM</t>
  </si>
  <si>
    <t>5.23</t>
  </si>
  <si>
    <t>5.24</t>
  </si>
  <si>
    <t>EXECUÇÃO E COMPACTAÇÃO DE BASE E OU SUB BASE COM SOLO ESTABILIZADO GRANULOMETRICAMENTE - EXCLUSIVE ESCAVAÇÃO, CARGA E TRANSPORTE E SOLO. AF_09/2017 (SUB-BASE)</t>
  </si>
  <si>
    <t>5.25</t>
  </si>
  <si>
    <t>EXECUÇÃO E COMPACTAÇÃO DE BASE E OU SUB BASE PARA PAVIMENTAÇÃO DE SOLOS ESTABILIZADOS GRANULOMETRICAMENTE COM MISTURA DE SOLOS EM PISTA - EXCLUSIVE SOLO, ESCAVAÇÃO, CARGA E TRANSPORTE. (BASE)</t>
  </si>
  <si>
    <t>5.26</t>
  </si>
  <si>
    <t>PEDREGULHO OU PICARRA DE JAZIDA, AO NATURAL, PARA BASE DE PAVIMENTACAO (RETIRADO NA JAZIDA, SEM TRANSPORTE)</t>
  </si>
  <si>
    <t>5.27</t>
  </si>
  <si>
    <t>5.28</t>
  </si>
  <si>
    <t>5.29</t>
  </si>
  <si>
    <t>EXECUÇÃO DE IMPRIMAÇÃO COM ASFALTO DILUÍDO CM-30. AF_09/2017</t>
  </si>
  <si>
    <t>5.30</t>
  </si>
  <si>
    <t>Composição 8</t>
  </si>
  <si>
    <t>EXECUÇÃO DE PINTURA DE LIGAÇÃO COM EMULSÃO ASFÁLTICA RR-2C. AF_11/2019</t>
  </si>
  <si>
    <t>5.31</t>
  </si>
  <si>
    <t>CONSTRUÇÃO DE PAVIMENTO COM APLICAÇÃO DE CONCRETO BETUMINOSO USINADO A QUENTE (CBUQ), CAMADA DE ROLAMENTO, COM ESPESSURA DE 3,0 CM - EXCLUSIVE TRANSPORTE. AF_03/2017</t>
  </si>
  <si>
    <t>5.32</t>
  </si>
  <si>
    <t>TRANSPORTE COM CAMINHÃO BASCULANTE DE 10M³, EM VIA URBANA PAVIMENTADA, DMT ATÉ 30 KM(UNIDADE: M3XKM). AF_07/2020</t>
  </si>
  <si>
    <t>7.0</t>
  </si>
  <si>
    <t>SERVIÇOS DIVERSOS</t>
  </si>
  <si>
    <t>PLANTIO DE GRAMA EM PLACAS. AF_05/2018</t>
  </si>
  <si>
    <t>DEMOLIÇÃO DE EDIFICAÇÕES (MEDIDO POR M² DE ÁREA CONSTRUÍDA)</t>
  </si>
  <si>
    <t>CARGA, MANOBRA E DESCARGA DE ENTULHO EM CAMINHÃO BASCULANTE 6 M³ - CARGA COM ESCAVADEIRA HIDRÁULICA (CAÇAMBA DE 0,80 M³ / 111 HP) E DESCARGA LIVRE (UNIDADE: M3). AF_07/2020</t>
  </si>
  <si>
    <t>Transporte com caminhão basculante de 6 m3, DMT até 30 km</t>
  </si>
  <si>
    <t>PROJETO DE DRENAGEM PLUVIAL</t>
  </si>
  <si>
    <t>RUA</t>
  </si>
  <si>
    <t>EXT</t>
  </si>
  <si>
    <t>DIÂMETRO</t>
  </si>
  <si>
    <t>PROF. MÉDIA PROJETO</t>
  </si>
  <si>
    <t>PROF. MÉDIA</t>
  </si>
  <si>
    <t>PROF. TOTAL</t>
  </si>
  <si>
    <t>VOL. ESCAVAÇÃO</t>
  </si>
  <si>
    <t>LASTRO DE AREIA</t>
  </si>
  <si>
    <t>Apiloamento</t>
  </si>
  <si>
    <t>VOL. TUBO</t>
  </si>
  <si>
    <t>VOLUME DE REATERRO</t>
  </si>
  <si>
    <t>BOTA FORA  (DMT = 9,8Km)</t>
  </si>
  <si>
    <t>TRANSP. MAT EMP (DMT 37,4Km)</t>
  </si>
  <si>
    <t>TRANSP. MAT EMP ADIC (DMT 37,4Km)</t>
  </si>
  <si>
    <t>ESGOTAMENTO</t>
  </si>
  <si>
    <t>TERRA</t>
  </si>
  <si>
    <t>LAMA (60%)</t>
  </si>
  <si>
    <t>REATERRO TOTAL</t>
  </si>
  <si>
    <t>MAT. EMPRÉSTIMO</t>
  </si>
  <si>
    <t>MAT. LOCAL</t>
  </si>
  <si>
    <t>PVm</t>
  </si>
  <si>
    <t>PVj</t>
  </si>
  <si>
    <t>INTERNO (mm)</t>
  </si>
  <si>
    <t>BTC</t>
  </si>
  <si>
    <t>EXTERNO (m)</t>
  </si>
  <si>
    <t xml:space="preserve">  (m)</t>
  </si>
  <si>
    <t>Total terra(m³)</t>
  </si>
  <si>
    <t>Reaproveitável</t>
  </si>
  <si>
    <t>Não reaproveitável</t>
  </si>
  <si>
    <t>HL(m)</t>
  </si>
  <si>
    <t>VL (m3)</t>
  </si>
  <si>
    <t>m³xKm</t>
  </si>
  <si>
    <t>HP x H</t>
  </si>
  <si>
    <t>DESCONTÍNUO</t>
  </si>
  <si>
    <t>CONTÍNUO</t>
  </si>
  <si>
    <t>Fórmulas</t>
  </si>
  <si>
    <t>(E)</t>
  </si>
  <si>
    <t>(Ø)</t>
  </si>
  <si>
    <r>
      <t>S</t>
    </r>
    <r>
      <rPr>
        <b/>
        <vertAlign val="subscript"/>
        <sz val="16"/>
        <rFont val="Arial Nova Cond"/>
        <family val="2"/>
      </rPr>
      <t>imples</t>
    </r>
    <r>
      <rPr>
        <b/>
        <sz val="16"/>
        <rFont val="Arial Nova Cond"/>
        <family val="2"/>
      </rPr>
      <t xml:space="preserve"> D</t>
    </r>
    <r>
      <rPr>
        <b/>
        <vertAlign val="subscript"/>
        <sz val="16"/>
        <rFont val="Arial Nova Cond"/>
        <family val="2"/>
      </rPr>
      <t>uplo</t>
    </r>
    <r>
      <rPr>
        <b/>
        <sz val="16"/>
        <rFont val="Arial Nova Cond"/>
        <family val="2"/>
      </rPr>
      <t xml:space="preserve"> T</t>
    </r>
    <r>
      <rPr>
        <b/>
        <vertAlign val="subscript"/>
        <sz val="16"/>
        <rFont val="Arial Nova Cond"/>
        <family val="2"/>
      </rPr>
      <t>riplo</t>
    </r>
    <r>
      <rPr>
        <b/>
        <sz val="16"/>
        <rFont val="Arial Nova Cond"/>
        <family val="2"/>
      </rPr>
      <t xml:space="preserve"> Q</t>
    </r>
    <r>
      <rPr>
        <b/>
        <vertAlign val="subscript"/>
        <sz val="16"/>
        <rFont val="Arial Nova Cond"/>
        <family val="2"/>
      </rPr>
      <t>uad.</t>
    </r>
  </si>
  <si>
    <r>
      <t>(Ø</t>
    </r>
    <r>
      <rPr>
        <b/>
        <vertAlign val="subscript"/>
        <sz val="16"/>
        <rFont val="Arial Nova Cond"/>
        <family val="2"/>
      </rPr>
      <t>e</t>
    </r>
    <r>
      <rPr>
        <b/>
        <sz val="16"/>
        <rFont val="Arial Nova Cond"/>
        <family val="2"/>
      </rPr>
      <t>)         Ø + 0,12</t>
    </r>
  </si>
  <si>
    <r>
      <t>(L)               Ø</t>
    </r>
    <r>
      <rPr>
        <b/>
        <vertAlign val="subscript"/>
        <sz val="16"/>
        <rFont val="Arial Nova Cond"/>
        <family val="2"/>
      </rPr>
      <t>e</t>
    </r>
    <r>
      <rPr>
        <b/>
        <sz val="16"/>
        <rFont val="Arial Nova Cond"/>
        <family val="2"/>
      </rPr>
      <t xml:space="preserve"> + 0,75</t>
    </r>
  </si>
  <si>
    <t>(Pm)</t>
  </si>
  <si>
    <t>(P)              Pm + HL</t>
  </si>
  <si>
    <t>(ET)                              E x L x P</t>
  </si>
  <si>
    <r>
      <t>(ETT)                       ET x %</t>
    </r>
    <r>
      <rPr>
        <b/>
        <vertAlign val="subscript"/>
        <sz val="16"/>
        <rFont val="Arial Nova Cond"/>
        <family val="2"/>
      </rPr>
      <t>TERRA</t>
    </r>
  </si>
  <si>
    <t>(Er)</t>
  </si>
  <si>
    <t>(Enr)</t>
  </si>
  <si>
    <r>
      <t>(ETL)                    ET x %</t>
    </r>
    <r>
      <rPr>
        <b/>
        <vertAlign val="subscript"/>
        <sz val="16"/>
        <rFont val="Arial Nova Cond"/>
        <family val="2"/>
      </rPr>
      <t>LAMA</t>
    </r>
  </si>
  <si>
    <t>(HL)              Altura Colchão</t>
  </si>
  <si>
    <t>(VL)                      E x L x HL</t>
  </si>
  <si>
    <t>(Ap)                                   E x L</t>
  </si>
  <si>
    <r>
      <t>(Vt)                       3,14 x Ø</t>
    </r>
    <r>
      <rPr>
        <b/>
        <vertAlign val="subscript"/>
        <sz val="16"/>
        <rFont val="Arial Nova Cond"/>
        <family val="2"/>
      </rPr>
      <t>e</t>
    </r>
    <r>
      <rPr>
        <b/>
        <vertAlign val="superscript"/>
        <sz val="16"/>
        <rFont val="Arial Nova Cond"/>
        <family val="2"/>
      </rPr>
      <t>2</t>
    </r>
    <r>
      <rPr>
        <b/>
        <sz val="16"/>
        <rFont val="Arial Nova Cond"/>
        <family val="2"/>
      </rPr>
      <t>/4</t>
    </r>
  </si>
  <si>
    <t>(RT)        ETT+ETL-VL-Vt</t>
  </si>
  <si>
    <t>(Re)                  ET-(Er+VL+Vt)</t>
  </si>
  <si>
    <t>(Rr)                     Er</t>
  </si>
  <si>
    <t>(C)                             ETL</t>
  </si>
  <si>
    <t>(BF)                           C x Emp x DMT</t>
  </si>
  <si>
    <t>(Te)                            Re x DMT</t>
  </si>
  <si>
    <t>(ESG)                            6,41cv x Prod</t>
  </si>
  <si>
    <t>(Ed)                       2 x E x L</t>
  </si>
  <si>
    <t>(Ec)                       2 x E x L</t>
  </si>
  <si>
    <t>TB ENCONTRO CANAL</t>
  </si>
  <si>
    <t>S</t>
  </si>
  <si>
    <t>Bocas de Lobo</t>
  </si>
  <si>
    <t>PROPOSTO</t>
  </si>
  <si>
    <t>BOCAS DE LOBO</t>
  </si>
  <si>
    <t>ESCAVAÇÃO EM TERRA</t>
  </si>
  <si>
    <t>ATÉ 1,50</t>
  </si>
  <si>
    <t>ESCAVAÇÃO EM LAMA</t>
  </si>
  <si>
    <t>PREVISTO</t>
  </si>
  <si>
    <t>EXT. ESPINHAS</t>
  </si>
  <si>
    <t>1,5&lt;H&lt;3,00</t>
  </si>
  <si>
    <t>acima 3,00</t>
  </si>
  <si>
    <t>BM 1 a 16</t>
  </si>
  <si>
    <t>FORNECIMENTO DE TUBULAÇÃO</t>
  </si>
  <si>
    <t>Transporte Comercial Com Caminhao Basculante 6 M3, Rodovia Com Revestimento Primario</t>
  </si>
  <si>
    <t>BOTA FORA</t>
  </si>
  <si>
    <t>BOTA DENTRO</t>
  </si>
  <si>
    <t>ASSENTAMENTO DE TUBULAÇÃO</t>
  </si>
  <si>
    <t xml:space="preserve">2.15.1 - Esgotamento de água com bombas de superfície e submersa </t>
  </si>
  <si>
    <t>FÓRMULA: ESGOT.= QUANT. BOMBAS x DIAS DE FUNC. x Nº HORAS x HP</t>
  </si>
  <si>
    <t>QUANT. BOMBAS</t>
  </si>
  <si>
    <t>DIAS DE FUNCIONAMENTO(N DE MESES X DIAS ÚTEIS)</t>
  </si>
  <si>
    <t>HORAS</t>
  </si>
  <si>
    <t>HP</t>
  </si>
  <si>
    <t>Nº PV</t>
  </si>
  <si>
    <t>DIÂM.</t>
  </si>
  <si>
    <t>Al. São João</t>
  </si>
  <si>
    <t>PV 17, PV 16</t>
  </si>
  <si>
    <t>Pass. Das Flores</t>
  </si>
  <si>
    <t>PV 71, PV 72, PV 70</t>
  </si>
  <si>
    <t>PS DOS ANJOS</t>
  </si>
  <si>
    <t>Rua Imperador</t>
  </si>
  <si>
    <t>PV 136</t>
  </si>
  <si>
    <t>Pss dos Anjos</t>
  </si>
  <si>
    <t xml:space="preserve"> PV 53, PV 44</t>
  </si>
  <si>
    <t>PV 137</t>
  </si>
  <si>
    <t>Pass. Moura Carvalho</t>
  </si>
  <si>
    <t>PV 19, PV 18</t>
  </si>
  <si>
    <t>PV 138</t>
  </si>
  <si>
    <t>PV 20</t>
  </si>
  <si>
    <t>PV 18</t>
  </si>
  <si>
    <t>PV 139</t>
  </si>
  <si>
    <t>PV 19</t>
  </si>
  <si>
    <t>PV 140</t>
  </si>
  <si>
    <t>Pass Nsa. Senh. de Fátima</t>
  </si>
  <si>
    <t>PV 160</t>
  </si>
  <si>
    <t>Rua Nova Repúlblica</t>
  </si>
  <si>
    <t>PV 22</t>
  </si>
  <si>
    <t>Rua São João</t>
  </si>
  <si>
    <t>PV 141</t>
  </si>
  <si>
    <t>Alameda São João</t>
  </si>
  <si>
    <t>PV 92</t>
  </si>
  <si>
    <t>PV 23</t>
  </si>
  <si>
    <t xml:space="preserve"> PV 129, PV 128, PV 127, PV 126</t>
  </si>
  <si>
    <t>PV 126</t>
  </si>
  <si>
    <t>PV 24</t>
  </si>
  <si>
    <t>Pass. Vida Nova</t>
  </si>
  <si>
    <t>PV 133, PV 134</t>
  </si>
  <si>
    <t>PV 127</t>
  </si>
  <si>
    <t>PV 25</t>
  </si>
  <si>
    <t>Rua 7</t>
  </si>
  <si>
    <t>PV 101</t>
  </si>
  <si>
    <t>PV 128</t>
  </si>
  <si>
    <t>Rua Principal</t>
  </si>
  <si>
    <t>PV 75</t>
  </si>
  <si>
    <t>Rua Alacides Nunes</t>
  </si>
  <si>
    <t>PV 129</t>
  </si>
  <si>
    <t>PV 76</t>
  </si>
  <si>
    <t>PV 131</t>
  </si>
  <si>
    <t>PV 77</t>
  </si>
  <si>
    <t>PV 78</t>
  </si>
  <si>
    <t>Rua B</t>
  </si>
  <si>
    <t>38; 39; 40</t>
  </si>
  <si>
    <t>Pass Vida Nova</t>
  </si>
  <si>
    <t>PV 133</t>
  </si>
  <si>
    <t>PV 103</t>
  </si>
  <si>
    <t>PV 134</t>
  </si>
  <si>
    <t>PV 104</t>
  </si>
  <si>
    <t>Rua B = São Pedro</t>
  </si>
  <si>
    <t>Rua 07</t>
  </si>
  <si>
    <t>PV 117</t>
  </si>
  <si>
    <t>Rua Coronel Neves</t>
  </si>
  <si>
    <t>PV 119, PV 60</t>
  </si>
  <si>
    <t>PV 65</t>
  </si>
  <si>
    <t>PV 118</t>
  </si>
  <si>
    <t>RUA DOIS</t>
  </si>
  <si>
    <t>PV 67</t>
  </si>
  <si>
    <t>PV 162</t>
  </si>
  <si>
    <t>Rua Dra. Izanê</t>
  </si>
  <si>
    <t xml:space="preserve">PV 165, PV 166, PV 167, PV 168, PV 47, PV 46, PV 49, PV 50 </t>
  </si>
  <si>
    <t>PV 123</t>
  </si>
  <si>
    <t>Rua São Benedito</t>
  </si>
  <si>
    <t>PV 29</t>
  </si>
  <si>
    <t>PV 169</t>
  </si>
  <si>
    <t>PV 163</t>
  </si>
  <si>
    <t>PV 31</t>
  </si>
  <si>
    <t>PV 94, PV 95, PV 96, PV 97, PV 98</t>
  </si>
  <si>
    <t>PV 164</t>
  </si>
  <si>
    <t>PV 32</t>
  </si>
  <si>
    <t>Sem nome</t>
  </si>
  <si>
    <t>PV 62</t>
  </si>
  <si>
    <t>Rua B - São Pedro</t>
  </si>
  <si>
    <t>Rua Helder Barbalho</t>
  </si>
  <si>
    <t>PV 174, PV 175</t>
  </si>
  <si>
    <t>PV 33</t>
  </si>
  <si>
    <t>PV 136, PV 137, PV 138, PV 139, PV 140</t>
  </si>
  <si>
    <t>PV 36</t>
  </si>
  <si>
    <t>Rua Moura Carvalho</t>
  </si>
  <si>
    <t>PV 01, PV 02</t>
  </si>
  <si>
    <t>PV 37</t>
  </si>
  <si>
    <t>PV 21, PV 04</t>
  </si>
  <si>
    <t>PV 60</t>
  </si>
  <si>
    <t>PV 43</t>
  </si>
  <si>
    <t>PV 22, PV 23</t>
  </si>
  <si>
    <t>PV 61</t>
  </si>
  <si>
    <t>PV 116</t>
  </si>
  <si>
    <t>PV 119</t>
  </si>
  <si>
    <t>PV01</t>
  </si>
  <si>
    <t>PV02</t>
  </si>
  <si>
    <t>PV 118, PV 103, PV 104</t>
  </si>
  <si>
    <t>PV03</t>
  </si>
  <si>
    <t>PV 75, PV 76, PV 162</t>
  </si>
  <si>
    <t>Rua Dr Izâne</t>
  </si>
  <si>
    <t>PV 47</t>
  </si>
  <si>
    <t>PV04</t>
  </si>
  <si>
    <t>PV 77, PV 78</t>
  </si>
  <si>
    <t>PV 48</t>
  </si>
  <si>
    <t>PV05</t>
  </si>
  <si>
    <t>PV 36, PV 37, PV 29, PV116, PV 31</t>
  </si>
  <si>
    <t>PV 49</t>
  </si>
  <si>
    <t>PV06</t>
  </si>
  <si>
    <t>PV 32, PV 33, PV 07, PV 08</t>
  </si>
  <si>
    <t>PV 50</t>
  </si>
  <si>
    <t>PV07</t>
  </si>
  <si>
    <t>PV01,PV02</t>
  </si>
  <si>
    <t>PV 51</t>
  </si>
  <si>
    <t>PV08</t>
  </si>
  <si>
    <t>PV03,PV04,PV06</t>
  </si>
  <si>
    <t>PV 94</t>
  </si>
  <si>
    <t>Rua São Francisco</t>
  </si>
  <si>
    <t>PV 90</t>
  </si>
  <si>
    <t>PV43</t>
  </si>
  <si>
    <t>PV 95</t>
  </si>
  <si>
    <t>PV 91</t>
  </si>
  <si>
    <t>PV 96</t>
  </si>
  <si>
    <t>PV 114</t>
  </si>
  <si>
    <t>PV 154, PV 155</t>
  </si>
  <si>
    <t>PV 97</t>
  </si>
  <si>
    <t>PV 148</t>
  </si>
  <si>
    <t>PV 156, PV 148</t>
  </si>
  <si>
    <t>PV 98</t>
  </si>
  <si>
    <t>PV 151</t>
  </si>
  <si>
    <t>PV 90, PV 114, PV 151</t>
  </si>
  <si>
    <t>PV 165</t>
  </si>
  <si>
    <t>PV 154</t>
  </si>
  <si>
    <t>PV 166</t>
  </si>
  <si>
    <t>PV 155</t>
  </si>
  <si>
    <t>Rua São José</t>
  </si>
  <si>
    <t>PV 11, PV 12, PV 13, PV 14</t>
  </si>
  <si>
    <t>PV 167</t>
  </si>
  <si>
    <t>PV 156</t>
  </si>
  <si>
    <t>PV 15</t>
  </si>
  <si>
    <t>PV 168</t>
  </si>
  <si>
    <t>PV 11</t>
  </si>
  <si>
    <t>Rua São Raimundo</t>
  </si>
  <si>
    <t>PV 55, PV 56</t>
  </si>
  <si>
    <t>PV 12</t>
  </si>
  <si>
    <t>PV 57</t>
  </si>
  <si>
    <t>Rua Erasmo Carlos</t>
  </si>
  <si>
    <t>PV 170</t>
  </si>
  <si>
    <t>PV 13</t>
  </si>
  <si>
    <t>PV 1A, PV 1B, PV 1C, PV 157</t>
  </si>
  <si>
    <t>PV 171</t>
  </si>
  <si>
    <t>PV 14</t>
  </si>
  <si>
    <t>Sexta Rua</t>
  </si>
  <si>
    <t>PV 69</t>
  </si>
  <si>
    <t>PV 121</t>
  </si>
  <si>
    <t>Rua D</t>
  </si>
  <si>
    <t>PV 112, PV 113</t>
  </si>
  <si>
    <t>Rua G</t>
  </si>
  <si>
    <t>PV 73</t>
  </si>
  <si>
    <t>PV 135</t>
  </si>
  <si>
    <t>PV 181, PV 182</t>
  </si>
  <si>
    <t>PV 161</t>
  </si>
  <si>
    <t>L07</t>
  </si>
  <si>
    <t>PV 161, PV 73</t>
  </si>
  <si>
    <t>PV 55</t>
  </si>
  <si>
    <t>Pass São João</t>
  </si>
  <si>
    <t>PV 174</t>
  </si>
  <si>
    <t>PV 56</t>
  </si>
  <si>
    <t>Rua Julia Barbalho</t>
  </si>
  <si>
    <t>PV 27</t>
  </si>
  <si>
    <t>PV 175</t>
  </si>
  <si>
    <t>Rua Tancredo Neves</t>
  </si>
  <si>
    <t>PV 115</t>
  </si>
  <si>
    <t>PV 176</t>
  </si>
  <si>
    <t>PV 1A</t>
  </si>
  <si>
    <t>PV 177</t>
  </si>
  <si>
    <t>PV 1B</t>
  </si>
  <si>
    <t>PV 178</t>
  </si>
  <si>
    <t>PV 1C</t>
  </si>
  <si>
    <t>PV 179</t>
  </si>
  <si>
    <t>PV 157</t>
  </si>
  <si>
    <t>Rua Sexta Rua</t>
  </si>
  <si>
    <t>PROJETO DE TERRAPLENAGEM / REVESTIMENTO</t>
  </si>
  <si>
    <t>OBRAS DE PREVENÇÃO DE INUNDAÇÕES NO CANAL MAGUARIAÇU</t>
  </si>
  <si>
    <t>MEMÓRIA DE CÁLCULO - DESMATAMENTO/TERRAPLENAGEM</t>
  </si>
  <si>
    <t>MEMÓRIA DE CÁLCULO - REVESTIMENTO</t>
  </si>
  <si>
    <t>LARGURA MÉDIA CANAL EXISTENTE</t>
  </si>
  <si>
    <t>LARGURA DO CANAL A IMPLANTAR B MAIOR</t>
  </si>
  <si>
    <t>LARGURA DO CANAL A IMPLANTAR B MENOR</t>
  </si>
  <si>
    <t>PROFUNDIDADE RECOMPOSIÇÃO DE ATERRO</t>
  </si>
  <si>
    <t>LARGURA DAS MARGINAIS</t>
  </si>
  <si>
    <t>PROFUNDIDADE MÉDIA</t>
  </si>
  <si>
    <t>PROF MÉDIA FUNDO DO CANAL CORTE</t>
  </si>
  <si>
    <t>ESCAVAÇÃO</t>
  </si>
  <si>
    <t>BOTA FORA - DMT = 9,8Km</t>
  </si>
  <si>
    <t>ATERRO EM AREIA (CAMADA DE 50CM PARA ESTABILIZAÇÃO DE FUNDO DE VALA)</t>
  </si>
  <si>
    <t>TRANSPORTE DE MATERIAL ESCAVADO - DMT=37,4Km (ATÉ 30KM)</t>
  </si>
  <si>
    <t>TRANSPORTE DE MATERIAL ESCAVADO - DMT=37,4Km (ACIMA DE 30KM)</t>
  </si>
  <si>
    <t>COMPACTAÇÃO DE ATERRO 100%</t>
  </si>
  <si>
    <t>TRANSPORTE DE MATERIAL ESCAVADO - DMT=37,4Km</t>
  </si>
  <si>
    <t>CAMINHO DE SERVIÇO (AMBOS OS LADOS DO CANAL)</t>
  </si>
  <si>
    <t>PROFUNDIDADE CANAL</t>
  </si>
  <si>
    <t>I                             TOTAL</t>
  </si>
  <si>
    <t>I                                     COLCHÃO RENO</t>
  </si>
  <si>
    <t>GABIÃO             CAIXA</t>
  </si>
  <si>
    <t>COLCHÃO RENO</t>
  </si>
  <si>
    <t>GEOTEXTIL</t>
  </si>
  <si>
    <t>ARAME</t>
  </si>
  <si>
    <t>PEDRA DE MÃO</t>
  </si>
  <si>
    <t>TRANSPORTE DE PEDRA DE MÃO  - DMT= 187Km</t>
  </si>
  <si>
    <t>PLANTIO DE GRAMA</t>
  </si>
  <si>
    <t>SOLO MOLE*</t>
  </si>
  <si>
    <t>DRAGAGEM**</t>
  </si>
  <si>
    <t>ATÉ 30KM</t>
  </si>
  <si>
    <t>+ 30KM</t>
  </si>
  <si>
    <t>EST.</t>
  </si>
  <si>
    <t>ATÉ EST.</t>
  </si>
  <si>
    <t>( m³)</t>
  </si>
  <si>
    <t>( m³xKm)</t>
  </si>
  <si>
    <t>(m³)</t>
  </si>
  <si>
    <t>(m²)</t>
  </si>
  <si>
    <t>(kg)</t>
  </si>
  <si>
    <t>FÓRMULAS</t>
  </si>
  <si>
    <t>N</t>
  </si>
  <si>
    <t>PROJETO DE DESMATAMENTO / TERRAPLENAGEM</t>
  </si>
  <si>
    <t>ESPESSURA DE LIMPEZA</t>
  </si>
  <si>
    <t>DESMATAMENTO</t>
  </si>
  <si>
    <t>LIMPEZA SUPERFICIAL</t>
  </si>
  <si>
    <t>CARGA E DESCARGA</t>
  </si>
  <si>
    <t>LIMPEZA</t>
  </si>
  <si>
    <t>ÁRVORES*</t>
  </si>
  <si>
    <t>F</t>
  </si>
  <si>
    <t>G</t>
  </si>
  <si>
    <t>* O VOLUME A CARREGAR E TRANSPORTAR DAS ÁRVORES FOI CÁLCULADO EM PLANILHA ANEXA.</t>
  </si>
  <si>
    <t>DATA:</t>
  </si>
  <si>
    <t>PLANILHAS DE COMPOSIÇÕES DE PREÇOS UNITÁRIOS</t>
  </si>
  <si>
    <t>Encargos sociais:</t>
  </si>
  <si>
    <t>DATA BASE:</t>
  </si>
  <si>
    <t>Composição 1a</t>
  </si>
  <si>
    <t>UNIDADE:</t>
  </si>
  <si>
    <t>Códigos</t>
  </si>
  <si>
    <t>COEFICIENTE</t>
  </si>
  <si>
    <t>MATERIAIS</t>
  </si>
  <si>
    <t>90779</t>
  </si>
  <si>
    <t>Engenheiro Civil De Obra Senior</t>
  </si>
  <si>
    <t>88255</t>
  </si>
  <si>
    <t>Auxiliar Tecnico De Engenharia</t>
  </si>
  <si>
    <t>90780</t>
  </si>
  <si>
    <t>Mestre De Obras</t>
  </si>
  <si>
    <t>Vigia Noturno</t>
  </si>
  <si>
    <t>90772</t>
  </si>
  <si>
    <t>Auxiliar Escritório</t>
  </si>
  <si>
    <t>90766</t>
  </si>
  <si>
    <t>Almoxarife</t>
  </si>
  <si>
    <t>EQUIPAMENTO</t>
  </si>
  <si>
    <t>SERVIÇOS</t>
  </si>
  <si>
    <t>Tarifa De Energia Eletrica Comercial, Baixa Tensao, Relativa Ao Consumo De Ate 100 Kwh, Incluindo Icms, Pis/Pasep E Cofins</t>
  </si>
  <si>
    <t>KW/H</t>
  </si>
  <si>
    <t>44480</t>
  </si>
  <si>
    <t>Tarifa "A" Entre  0 E 20M3 Fornecimento D'Agua</t>
  </si>
  <si>
    <t>TOTAL DA COMPOSIÇÃO SEM BDI</t>
  </si>
  <si>
    <t>TOTAL DA COMPOSIÇÃO COM BDI</t>
  </si>
  <si>
    <t>CANALIZAÇÃO MAGUARIAÇÚ - TRECHO 02</t>
  </si>
  <si>
    <t xml:space="preserve">Locação topográfica </t>
  </si>
  <si>
    <t>SARRAFO DE MADEIRA NAO APARELHADA *2,5 X 15* CM, MACARANDUBA, ANGELIM OU EQUIVALENTE DA REGIAO</t>
  </si>
  <si>
    <t>OK</t>
  </si>
  <si>
    <t>AUXILIAR DE TOPÓGRAFO COM ENCARGOS COMPLEMENTARES</t>
  </si>
  <si>
    <t>88288</t>
  </si>
  <si>
    <t>NIVELADOR COM ENCARGOS COMPLEMENTARES</t>
  </si>
  <si>
    <t>DESENHISTA DETALHISTA COM ENCARGOS COMPLEMENTARES</t>
  </si>
  <si>
    <t>92145</t>
  </si>
  <si>
    <t>CAMINHONETE CABINE SIMPLES COM MOTOR 1.6 FLEX, CÂMBIO MANUAL, POTÊNCIA 101/104 CV, 2 PORTAS - CHP DIURNO. AF_11/2015</t>
  </si>
  <si>
    <t>Composição 3a</t>
  </si>
  <si>
    <t xml:space="preserve">EQUIPAMENTOS/TRANSPORTES (ATÉ 50KM) </t>
  </si>
  <si>
    <t>DMT</t>
  </si>
  <si>
    <t>FU</t>
  </si>
  <si>
    <t>CUSTO</t>
  </si>
  <si>
    <t>CUSTO TOTAL</t>
  </si>
  <si>
    <t>TRANSPORTE EQUIPAMENTO (ESCAVADEIRA - 22 T 5X)</t>
  </si>
  <si>
    <t>TRANSPORTE EQUIPAMENTO (ROLO PD - 15 T 2X)</t>
  </si>
  <si>
    <t>TRANSPORTE EQUIPAMENTO (PATROL - 13 T 1X)</t>
  </si>
  <si>
    <t>TRANSPORTE EQUIPAMENTO (VIBRO - 12 T 1X)</t>
  </si>
  <si>
    <t>5678</t>
  </si>
  <si>
    <t>TRANSPORTE EQUIPAMENTO (RETROESCAVADEIRA - 58KW 2X)</t>
  </si>
  <si>
    <t>TRANSPORTE EQUIPAMENTO (ROLO TANDEM - 15 T 2X)</t>
  </si>
  <si>
    <t>TRANSPORTE EQUIPAMENTO (ROLO PNEUS - 26 T 2X)</t>
  </si>
  <si>
    <t>TRANSPORTE EQUIPAMENTO (TRATOR PNEUS C/ VASSOURA MECÂNICA - 5 T 2X)</t>
  </si>
  <si>
    <t>TRANSPORTE EQUIPAMENTO (USINA DE ASFALTO À QUENTE)*</t>
  </si>
  <si>
    <t>TRANSPORTE EQUIPAMENTO (TANQUE DE ESTOCAGEM DE ASFALTO - 34T 1X)*</t>
  </si>
  <si>
    <t>TRANSPORTE EQUIPAMENTO (GRUPO GERADOR 340 KVA PARA USINA 1X)</t>
  </si>
  <si>
    <t>5928</t>
  </si>
  <si>
    <t>CAMINHÃO CARROCERIA COM GUINDAUTO</t>
  </si>
  <si>
    <t>CAMINHÃO BASCULANTE 10 M3, TRUCADO CABINE SIMPLES, PESO BRUTO TOTAL 23 (35 CAMINHÕES)</t>
  </si>
  <si>
    <t>Remoção de solo mole</t>
  </si>
  <si>
    <t>88907</t>
  </si>
  <si>
    <t>ESCAVADEIRA HIDRÁULICA SOBRE ESTEIRAS, CAÇAMBA 1,20 M3, PESO OPERACIONAL 21,0 T, POTÊNCIA LÍQUIDA 110 HP - CHP DIURNO. AF_10/2014</t>
  </si>
  <si>
    <t>5944</t>
  </si>
  <si>
    <t>PÁ CARREGADEIRA SOBRE RODAS, POTÊNCIA 197 HP</t>
  </si>
  <si>
    <t>5851</t>
  </si>
  <si>
    <t>TRATOR DE ESTEIRAS, POTÊNCIA 150 HP</t>
  </si>
  <si>
    <t>5811</t>
  </si>
  <si>
    <t>CAMINHÃO BASCULANTE 6 M3</t>
  </si>
  <si>
    <t>Caminho de serviço</t>
  </si>
  <si>
    <t>Dragagem</t>
  </si>
  <si>
    <t>COMPOSIÇÃO DE PREÇOS UNITÁRIOS</t>
  </si>
  <si>
    <t xml:space="preserve"> Unidade: </t>
  </si>
  <si>
    <t>COEFIC.</t>
  </si>
  <si>
    <t xml:space="preserve">  CUSTO</t>
  </si>
  <si>
    <t>CUSTO UNITÁRIO</t>
  </si>
  <si>
    <t>MATERIAL/SERVIÇOS</t>
  </si>
  <si>
    <t xml:space="preserve"> CONSUMO </t>
  </si>
  <si>
    <t xml:space="preserve">                       </t>
  </si>
  <si>
    <t>SERVENTE</t>
  </si>
  <si>
    <t>EQUIPAMENTOS/TRANSPORTES (ATÉ 100KM)</t>
  </si>
  <si>
    <t>SERVIÇO: Placa de obra em chapa de aço galvanizado</t>
  </si>
  <si>
    <r>
      <t>m</t>
    </r>
    <r>
      <rPr>
        <b/>
        <vertAlign val="superscript"/>
        <sz val="9"/>
        <rFont val="Calibri (Corpo)"/>
      </rPr>
      <t>2</t>
    </r>
  </si>
  <si>
    <t>SINAPI - AGO/23</t>
  </si>
  <si>
    <t>CARPINTEIRO DE FORMAS COM ENCARGOS COMPLEMENTARES</t>
  </si>
  <si>
    <t>CONCRETO MAGRO PARA LASTRO, TRAÇO 1:4,5:4,5 (CIMENTO/ AREIA MÉDIA/ BRITA 1) - PREPARO MECÂNICO COM BETONEIRA 400 L.</t>
  </si>
  <si>
    <t>LANÇAMENTO COM USO DE BALDES, ADENSAMENTO E ACABAMENTO DE CONCRETO ESTRUTURAS.</t>
  </si>
  <si>
    <t>SARRAFO NAO APARELHADO *2,5 X 7* CM, EM MACARANDUBA, ANGELIM OU EQUIVALENTE DA REGIAO - BRUTA</t>
  </si>
  <si>
    <t>PREGO DE ACO POLIDO COM CABECA 18 X 30 (2 3/4 X 10)</t>
  </si>
  <si>
    <t>PLACA DE OBRA (PARA CONSTRUCAO CIVIL) EM CHAPA GALVANIZADA *N. 22*, ADESIVADA DE *2,0 X 1,125* M</t>
  </si>
  <si>
    <t>CONSTRUÇÃO DE OBRAS DE PREVENÇÃO DE INUNDAÇÕES</t>
  </si>
  <si>
    <t>EXECUÇÃO DAS OBRAS DE PREVENÇÃO DE INUNDAÇÕES NO MUNICIPIO DE ANANINDEUA/PA</t>
  </si>
  <si>
    <t>TOTAL (C/BDI)</t>
  </si>
  <si>
    <t>CUSTO TOTAL (S/BDI)</t>
  </si>
  <si>
    <t>PREÇO TOTAL S/BDI</t>
  </si>
  <si>
    <t>PREÇO TOTAL C/BDI</t>
  </si>
  <si>
    <t>ANEXO - PLANILHA ORÇAMENTÁRIA PONTE (PROJETO BÁSICO)</t>
  </si>
  <si>
    <t>PVx</t>
  </si>
  <si>
    <t>DESMATAMENTO E TERRAPLENAGEM DE CANALIZAÇÕES, IGARAPÉS E RIACHOS</t>
  </si>
  <si>
    <t>CORTE E BOTA-FORA DE CANAIS E MARGINAIS</t>
  </si>
  <si>
    <t>DRENAGENS E LANÇAMENTO CANALIZAÇÕES, IGARAPÉS E RIACHOS</t>
  </si>
  <si>
    <t>PVa</t>
  </si>
  <si>
    <t>TB P/ PREVENÇÃO DE INUNDAÇÕES</t>
  </si>
  <si>
    <t>PLANILHA DE SERVIÇOS DE PREVENÇÃO DE INUNDAÇÕES</t>
  </si>
  <si>
    <t>PROJETO DE PREVENÇÃO DE INUNDAÇÕES</t>
  </si>
  <si>
    <t>CANALIZAÇÕES, RIACHOS, IGARAPÉS E VIAS PÚBLICAS</t>
  </si>
  <si>
    <t>TOTAL DO ITEM 10:</t>
  </si>
  <si>
    <t>INFRAESTRUTURA</t>
  </si>
  <si>
    <t>Tubo em concreto simples d= 400mm</t>
  </si>
  <si>
    <t>7.8</t>
  </si>
  <si>
    <t>2.4</t>
  </si>
  <si>
    <t>2.5</t>
  </si>
  <si>
    <t>2.6</t>
  </si>
  <si>
    <t>2.7</t>
  </si>
  <si>
    <t>020020</t>
  </si>
  <si>
    <t xml:space="preserve">Retirada da estrutura em madeira da cobertura </t>
  </si>
  <si>
    <t xml:space="preserve">021526 </t>
  </si>
  <si>
    <t>020856</t>
  </si>
  <si>
    <t xml:space="preserve">Retirada de louça sanitária </t>
  </si>
  <si>
    <t xml:space="preserve">Retirada de mictório aço inox </t>
  </si>
  <si>
    <t xml:space="preserve">020235 </t>
  </si>
  <si>
    <t>Retirada de piso ceramico, inclusive camada regularizadora</t>
  </si>
  <si>
    <t xml:space="preserve">020021 </t>
  </si>
  <si>
    <t>2.8</t>
  </si>
  <si>
    <t>Retirada de revestimento cerâmico</t>
  </si>
  <si>
    <t xml:space="preserve">020024 </t>
  </si>
  <si>
    <t xml:space="preserve">Retirada de telhas fibrocimento sem aproveitamento </t>
  </si>
  <si>
    <t>9.7</t>
  </si>
  <si>
    <t>9.8</t>
  </si>
  <si>
    <t>9.9</t>
  </si>
  <si>
    <t xml:space="preserve">Muro em alvenaria,rebocado e pintado 2 faces(h=2.0m) </t>
  </si>
  <si>
    <t>250532</t>
  </si>
  <si>
    <t>Banco em concreto c/2 mod.2,75x0,4m</t>
  </si>
  <si>
    <t>2.9</t>
  </si>
  <si>
    <t>SEINFRA CE</t>
  </si>
  <si>
    <t>C1043</t>
  </si>
  <si>
    <t>DEMOLIÇÃO DE ALVENARIA DE TIJOLOS S/ REAPROVEITAMENTO</t>
  </si>
  <si>
    <t>2.10</t>
  </si>
  <si>
    <t>2.11</t>
  </si>
  <si>
    <t>2.12</t>
  </si>
  <si>
    <t>2.13</t>
  </si>
  <si>
    <t>2.14</t>
  </si>
  <si>
    <t>2.15</t>
  </si>
  <si>
    <t>C3047</t>
  </si>
  <si>
    <t>RETIRADA DE TUBO PVC ENTERRADO DN=50mm</t>
  </si>
  <si>
    <t>C3057</t>
  </si>
  <si>
    <t>RETIRADA DE TUBOS DE CONCRETO D=60cm</t>
  </si>
  <si>
    <t>C3379</t>
  </si>
  <si>
    <t>RETIRADA DE TUBOS E CONEXÕES EM PVC JE DN 100MM</t>
  </si>
  <si>
    <t>PASSADIÇOS COM PRANCHAS DE MADEIRA</t>
  </si>
  <si>
    <t>C2892</t>
  </si>
  <si>
    <t>DRENO PROFUNDO C/TUBO POROSO D=20cm/BRITA</t>
  </si>
  <si>
    <t>C3072</t>
  </si>
  <si>
    <t>C3086</t>
  </si>
  <si>
    <t>EXTREMIDADE PARA DRENO SUB-SUPERFICIAL</t>
  </si>
  <si>
    <t>C4618</t>
  </si>
  <si>
    <t>DEMOLIÇÃO DE INSTALAÇÃO HIDRÁULICA - TUBOS E CONEXÕES</t>
  </si>
  <si>
    <t>PT</t>
  </si>
  <si>
    <t>DEMOLIÇÃO DE INSTALAÇÃO SANITÁRIA - TUBOS E CONEXÕES</t>
  </si>
  <si>
    <t>C4619</t>
  </si>
  <si>
    <t>BLOCOS DE   [ 0,80 x 0,80 x 0,40 ]   ( x4 )</t>
  </si>
  <si>
    <t>0,80+0,80+0,80+0,80 =</t>
  </si>
  <si>
    <t>BLOCOS DE   [ 0,80 x 2,00 x 0,85 ]   ( x4 )</t>
  </si>
  <si>
    <t>2,00+2,00+0,80+0,80 =</t>
  </si>
  <si>
    <t>BLOCOS DE   [  1,80 x 1,80 x 1,30 ]   ( x4 )</t>
  </si>
  <si>
    <t>1,80+1,80+1,80+1,80 =</t>
  </si>
  <si>
    <t>BLOCOS DE   [  0,76 x 2,36 x 1,00 ]   ( x4 )</t>
  </si>
  <si>
    <t>0,76+0,76+2,36+2,36 =</t>
  </si>
  <si>
    <t>0,65 + 0,20 + 0,65 =</t>
  </si>
  <si>
    <t>1,00 + 0,30 + 1,00 =</t>
  </si>
  <si>
    <t>1,20 + 0,30 + 1,20 =</t>
  </si>
  <si>
    <t>0,80 + 0,30 + 0,80 =</t>
  </si>
  <si>
    <t>VER PROJETO - PRANCHA 01/03 (PILARES)</t>
  </si>
  <si>
    <t>L21</t>
  </si>
  <si>
    <t>L22</t>
  </si>
  <si>
    <t>L23</t>
  </si>
  <si>
    <t>L24</t>
  </si>
  <si>
    <t>L25</t>
  </si>
  <si>
    <t>L26</t>
  </si>
  <si>
    <t>L27</t>
  </si>
  <si>
    <t>L28</t>
  </si>
  <si>
    <t>L29</t>
  </si>
  <si>
    <t>L30</t>
  </si>
  <si>
    <t>CONCRETO USINADO BOMBEADO FCK=25MPA, INCLUSIVE LANCAMENTO E ADENSAMENTO</t>
  </si>
  <si>
    <t>FORMA TABUAS MADEIRA 3A P/ PECAS CONCRETO ARM, REAPR 2X, INCL MONTAGEM E DESMONTAGEM.</t>
  </si>
  <si>
    <t xml:space="preserve"> TOTAL</t>
  </si>
  <si>
    <t xml:space="preserve"> TOTAL GERAL (X2)</t>
  </si>
  <si>
    <t>ARMACAO ACO CA-50 DIAM.16,0 (5/8) À 25,0MM (1) - FORNECIMENTO/ CORTE(PERDA DE 10%) / DOBRA / COLOCAÇÃO.</t>
  </si>
  <si>
    <t>VER PROJETO - PRANCHA EST 001. ( PRANCHA  02/02)</t>
  </si>
  <si>
    <t>7,95 + 7,95 + 0,30 + 0,30 =</t>
  </si>
  <si>
    <t>5,35 + 5,35 + 0,30 + 0,30 =</t>
  </si>
  <si>
    <t>0,20 + 0,20 + 0,20 + 0,20 =</t>
  </si>
  <si>
    <t>adicional passadiços e escoramento de formas</t>
  </si>
  <si>
    <t>102487</t>
  </si>
  <si>
    <t>CONCRETO CICLÓPICO FCK = 15MPA, 30% PEDRA DE MÃO EM VOLUME REAL, INCLUSIVE LANÇAMENTO. AF_05/2021</t>
  </si>
  <si>
    <t>92409</t>
  </si>
  <si>
    <t>MONTAGEM E DESMONTAGEM DE FÔRMA DE PILARES RETANGULARES E ESTRUTURAS SIMILARES, PÉ-DIREITO SIMPLES, EM MADEIRA SERRADA, 1 UTILIZAÇÃO. AF_09/2020</t>
  </si>
  <si>
    <t>SERVIÇOS COMPLEMENTARES</t>
  </si>
  <si>
    <t>EXECUÇÃO DE PLATAFORMA EM TERRENO ALAGADIÇO OU ACIDENTADO</t>
  </si>
  <si>
    <t>SINAPI/ SEDOP/SEINFRA CE</t>
  </si>
  <si>
    <t>PINUS - SARRAFO DE 1" X 4" - BRUTO</t>
  </si>
  <si>
    <t>PINUS - TÁBUA DE 1" X 12" - BRUTA</t>
  </si>
  <si>
    <t>PREGO 18 X 27 COMUM - POLIDO</t>
  </si>
  <si>
    <t>00004509</t>
  </si>
  <si>
    <t>00006212</t>
  </si>
  <si>
    <t>00005061</t>
  </si>
  <si>
    <t>Comp8</t>
  </si>
  <si>
    <t>2.16</t>
  </si>
  <si>
    <t>DEMOLIÇÃO DE PILARES E VIGAS EM CONCRETO ARMADO, DE FORMA MECANIZADA COM MARTELETE, SEM REAPROVEITAMENTO. AF_12/2017</t>
  </si>
  <si>
    <t>97627</t>
  </si>
  <si>
    <t>97629</t>
  </si>
  <si>
    <t>DEMOLIÇÃO DE LAJES, DE FORMA MECANIZADA COM MARTELETE, SEM REAPROVEITAMENTO. AF_12/2017</t>
  </si>
  <si>
    <t>3.0</t>
  </si>
  <si>
    <t>MURO DE GABIÃO, ENCHIMENTO COM PEDRA DE MÃO TIPO RACHÃO, DE GRAVIDADE, COM GAIOLAS DE COMPRIMENTO IGUAL A 2 METROS, ALTURA DO MURO DE ATÉ 4 METROS - FORNECIMENTO E EXECUÇÃO. AF_12/2015</t>
  </si>
  <si>
    <t>PROTEÇÃO SUPERFICIAL DE CANAL EM GABIÃO TIPO COLCHÃO, ALTURA DE 23 CENTÍMETROS, ENCHIMENTO COM PEDRA DE MÃO TIPO RACHÃO - FORNECIMENTO E EXECUÇÃO. AF_12/2015</t>
  </si>
  <si>
    <t>3.4</t>
  </si>
  <si>
    <t>ARAME DE AMARRACAO PARA GABIAO GALVANIZADO, DIAMETRO 2,2 MM</t>
  </si>
  <si>
    <t>3.5</t>
  </si>
  <si>
    <t>3.6</t>
  </si>
  <si>
    <t>3.7</t>
  </si>
  <si>
    <t>EXECUÇÃO DE ENSECADEIRAS SUCESSIVAS E SERVIÇOS DE TERRAPLENAGEM PARA REVESTIMENTO DOS TALUDES</t>
  </si>
  <si>
    <t>3.7.1</t>
  </si>
  <si>
    <t>ESCAVAÇÃO MECANIZADA DE VALA COM PROFUNDIDADE ATÉ 1,5 M (IMPLANTAÇÃO DO REVESTIMENTO)</t>
  </si>
  <si>
    <t>3.7.2</t>
  </si>
  <si>
    <t>REGULARIZAÇÃO DE MATERIAL ESCAVADO PARA EXECUÇÃO DE ENSECADEIRAS SUCESSIVAS COM ESPALHAMENTO E COMPACTAÇÃO</t>
  </si>
  <si>
    <t>3.7.3</t>
  </si>
  <si>
    <t>ESCAVAÇÃO MECANIZADA DE VALA COM PROFUNDIDADE ATÉ 1,5 M (RETIRADA E EXPURGO DAS ENSECADEIRAS)</t>
  </si>
  <si>
    <t>3.7.4</t>
  </si>
  <si>
    <t>3.7.5</t>
  </si>
  <si>
    <t>3.7.6</t>
  </si>
  <si>
    <t>REGULARIZAÇÃO MANUAL DE TALUDES DE CORTES E ATERROS</t>
  </si>
  <si>
    <t>REVESTIMENTO E MANUTENÇÃO DE TALUDE</t>
  </si>
  <si>
    <t>3.8</t>
  </si>
  <si>
    <t>RETIRADA E RECOMPOSIÇÃO DE GABIÃO CAIXA, COM REAPROVEITAMENTO PARCIAL DE PEDRAS E GAIOLAS</t>
  </si>
  <si>
    <t>RETIRADA E RECOMPOSIÇÃO DE GABIÃO COLCHÃO RENO, COM REAPROVEITAMENTO PARCIAL DE PEDRAS E GAIOLAS</t>
  </si>
  <si>
    <t>GEOTEXTIL NAO TECIDO AGULHADO DE FILAMENTOS CONTINUOS 100% POLIESTER, RESITENCIA A TRACAO = 10 KN/M</t>
  </si>
  <si>
    <t>SARRAFO NAO APARELHADO *2,5 X 10* CM, EM MACARANDUBA/MASSARANDUBA, ANGELIM OU EQUIVALENTE DA REGIAO - BRUTA</t>
  </si>
  <si>
    <t>PEDRA DE MAO OU PEDRA RACHAO PARA ARRIMO/FUNDACAO (POSTO PEDREIRA/FORNECEDOR, SEM FRETE)</t>
  </si>
  <si>
    <t>PREGO DE ACO POLIDO COM CABECA 14 X 18 (1 1/2 X 14)</t>
  </si>
  <si>
    <t>4011</t>
  </si>
  <si>
    <t>4460</t>
  </si>
  <si>
    <t>4730</t>
  </si>
  <si>
    <t>5063</t>
  </si>
  <si>
    <t>10,41</t>
  </si>
  <si>
    <t>8,47</t>
  </si>
  <si>
    <t>205,70</t>
  </si>
  <si>
    <t>19,84</t>
  </si>
  <si>
    <t>5631</t>
  </si>
  <si>
    <t>ESCAVADEIRA HIDRÁULICA SOBRE ESTEIRAS, CAÇAMBA 0,80 M3, PESO OPERACIONAL 17 T, POTENCIA BRUTA 111 HP - CHP DIURNO. AF_06/2014</t>
  </si>
  <si>
    <t>5632</t>
  </si>
  <si>
    <t>ESCAVADEIRA HIDRÁULICA SOBRE ESTEIRAS, CAÇAMBA 0,80 M3, PESO OPERACIONAL 17 T, POTENCIA BRUTA 111 HP - CHI DIURNO. AF_06/2014</t>
  </si>
  <si>
    <t>88309</t>
  </si>
  <si>
    <t>40438</t>
  </si>
  <si>
    <t>GABIAO TIPO CAIXA, MALHA HEXAGONAL 8 X 10 CM (ZN/AL), FIO DE 2,7 MM, DIMENSOES 2,0 X 1,0 X 1,0 M (C X L X A)</t>
  </si>
  <si>
    <t>1,0000000</t>
  </si>
  <si>
    <t>361,08</t>
  </si>
  <si>
    <t>3.7.7</t>
  </si>
  <si>
    <t>3.7.8</t>
  </si>
  <si>
    <t>Composição 10</t>
  </si>
  <si>
    <t>40453</t>
  </si>
  <si>
    <t>GABIAO MANTA (COLCHAO) MALHA HEXAGONAL 6 X 8 CM (ZN/AL REVESTIDO COM POLIMERO), FIO 2,0 MM, DIMENSOES 5,0 X 2,0 X 0,23 M (C X L X A)</t>
  </si>
  <si>
    <t>1,1500000</t>
  </si>
  <si>
    <t>C Mag P</t>
  </si>
  <si>
    <t>Mai/24 (Sinapi) - Jul/23 (Sicro)</t>
  </si>
  <si>
    <t>100289</t>
  </si>
  <si>
    <t>90775</t>
  </si>
  <si>
    <t>43614</t>
  </si>
  <si>
    <t>00004722</t>
  </si>
  <si>
    <t>PEDRA BRITADA N. 3 (38 A 50 MM) POSTO PEDREIRA/FORNECEDOR, SEM FRETE</t>
  </si>
  <si>
    <t>96386</t>
  </si>
  <si>
    <t>EXECUÇÃO E COMPACTAÇÃO DE ATERRO COM SOLO PREDOMINANTEMENTE ARENOSO - EXCLUSIVE ESCAVAÇÃO, CARGA E TRANSPORTE E SOLO. AF_09/2017</t>
  </si>
  <si>
    <t>ARMAÇÃO DE LAJE DE ESTRUTURA CONVENCIONAL DE CONCRETO ARMADO</t>
  </si>
  <si>
    <t>DATA BASE: SEDOP - ABRIL/2024 ; SINAPI - MAIO/2024 ; ORSE - JUNHO/2023; SICRO - ABRIL/2024.</t>
  </si>
  <si>
    <t>94273</t>
  </si>
  <si>
    <t>41620</t>
  </si>
  <si>
    <t xml:space="preserve">Execução e compactação de base e ou sub base para pavimentação de solo arenoso (SOLO MELHORADO COM PEDREGULHO OU BRITA) - exclusive escavação, carga e transporte. </t>
  </si>
  <si>
    <t>218,85</t>
  </si>
  <si>
    <t>4721</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</si>
  <si>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</si>
  <si>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</si>
  <si>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REBOCÁVEL COM 20 DISCOS 24" X 6 MM COM PNEUS PARA TRANSPORTE - CHP DIURNO. AF_06/2014</t>
  </si>
  <si>
    <t>GRADE DE DISCO REBOCÁVEL COM 20 DISCOS 24" X 6 MM COM PNEUS PARA TRANSPORTE - CHI DIURNO. AF_06/2014</t>
  </si>
  <si>
    <t>0,0120000</t>
  </si>
  <si>
    <t>0,0280000</t>
  </si>
  <si>
    <t>0,0040000</t>
  </si>
  <si>
    <t>0,0360000</t>
  </si>
  <si>
    <t>0,0080000</t>
  </si>
  <si>
    <t>4,94</t>
  </si>
  <si>
    <t>0,0320000</t>
  </si>
  <si>
    <t>3,20</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</si>
  <si>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</si>
  <si>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</si>
  <si>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0,0050000</t>
  </si>
  <si>
    <t>0,0350000</t>
  </si>
  <si>
    <t>73436</t>
  </si>
  <si>
    <t>ROLO COMPACTADOR VIBRATÓRIO PÉ DE CARNEIRO PARA SOLOS, POTÊNCIA 80 HP, PESO OPERACIONAL SEM/COM LASTRO 7,4 / 8,8 T, LARGURA DE TRABALHO 1,68 M - CHP DIURNO. AF_02/2016</t>
  </si>
  <si>
    <t>93244</t>
  </si>
  <si>
    <t>ROLO COMPACTADOR VIBRATÓRIO PÉ DE CARNEIRO PARA SOLOS, POTÊNCIA 80 HP, PESO OPERACIONAL SEM/COM LASTRO 7,4 / 8,8 T, LARGURA DE TRABALHO 1,68 M - CHI DIURNO. AF_02/2016</t>
  </si>
  <si>
    <t>0,0042000</t>
  </si>
  <si>
    <t>0,0456000</t>
  </si>
  <si>
    <t>0,0062000</t>
  </si>
  <si>
    <t>0,0436000</t>
  </si>
  <si>
    <t>0,0051000</t>
  </si>
  <si>
    <t>0,0448000</t>
  </si>
  <si>
    <t>0,0146000</t>
  </si>
  <si>
    <t>0,0353000</t>
  </si>
  <si>
    <t>0,0038000</t>
  </si>
  <si>
    <t>0,0461000</t>
  </si>
  <si>
    <t>660</t>
  </si>
  <si>
    <t>2692</t>
  </si>
  <si>
    <t>DESMOLDANTE PROTETOR PARA FORMAS DE MADEIRA, DE BASE OLEOSA EMULSIONADA EM AGUA</t>
  </si>
  <si>
    <t>4491</t>
  </si>
  <si>
    <t>4517</t>
  </si>
  <si>
    <t>5069</t>
  </si>
  <si>
    <t>6193</t>
  </si>
  <si>
    <t>TABUA NAO APARELHADA *2,5 X 20* CM, EM MACARANDUBA/MASSARANDUBA, ANGELIM OU EQUIVALENTE DA REGIAO - BRUTA</t>
  </si>
  <si>
    <t>25067</t>
  </si>
  <si>
    <t>43386</t>
  </si>
  <si>
    <t>MEIO-FIO OU GUIA DE CONCRETO PRE-MOLDADO, TIPO CHAPEU PARA BOCA DE LOBO,  DIMENSOES *1,20* X 0,15 X 0,30 M</t>
  </si>
  <si>
    <t>87316</t>
  </si>
  <si>
    <t>88628</t>
  </si>
  <si>
    <t>89993</t>
  </si>
  <si>
    <t>89995</t>
  </si>
  <si>
    <t>89996</t>
  </si>
  <si>
    <t>ARMAÇÃO VERTICAL DE ALVENARIA ESTRUTURAL; DIÂMETRO DE 10,0 MM. AF_09/2021</t>
  </si>
  <si>
    <t>89998</t>
  </si>
  <si>
    <t>94970</t>
  </si>
  <si>
    <t>CONCRETO FCK = 20MPA, TRAÇO 1:2,7:3 (EM MASSA SECA DE CIMENTO/ AREIA MÉDIA/ BRITA 1) - PREPARO MECÂNICO COM BETONEIRA 600 L. AF_05/2021</t>
  </si>
  <si>
    <t>97735</t>
  </si>
  <si>
    <t>PEÇA RETANGULAR PRÉ-MOLDADA, VOLUME DE CONCRETO DE 30 A 100 LITROS, TAXA DE AÇO APROXIMADA DE 30KG/M³. AF_03/2024</t>
  </si>
  <si>
    <t>101616</t>
  </si>
  <si>
    <t>21,0000000</t>
  </si>
  <si>
    <t>3,38</t>
  </si>
  <si>
    <t>0,0082000</t>
  </si>
  <si>
    <t>8,39</t>
  </si>
  <si>
    <t>0,1776000</t>
  </si>
  <si>
    <t>10,49</t>
  </si>
  <si>
    <t>0,2112000</t>
  </si>
  <si>
    <t>3,67</t>
  </si>
  <si>
    <t>0,0187000</t>
  </si>
  <si>
    <t>16,95</t>
  </si>
  <si>
    <t>0,6624000</t>
  </si>
  <si>
    <t>47,1757000</t>
  </si>
  <si>
    <t>5,44</t>
  </si>
  <si>
    <t>45,18</t>
  </si>
  <si>
    <t>0,0418000</t>
  </si>
  <si>
    <t>0,4746000</t>
  </si>
  <si>
    <t>0,0299000</t>
  </si>
  <si>
    <t>0,0615000</t>
  </si>
  <si>
    <t>0,9872000</t>
  </si>
  <si>
    <t>2,4680000</t>
  </si>
  <si>
    <t>0,1628000</t>
  </si>
  <si>
    <t>0,0616000</t>
  </si>
  <si>
    <t>1,1700000</t>
  </si>
  <si>
    <t>portuarias</t>
  </si>
  <si>
    <t>edificações</t>
  </si>
  <si>
    <t>rodoviarias</t>
  </si>
  <si>
    <t>redes correlatas</t>
  </si>
  <si>
    <t>83,87%(H) / 44,39%(M)</t>
  </si>
  <si>
    <t>OBRAS DE PREVENÇÕES DE ALAGAMENTOS E CHEIAS, INFRAESTRUTURA URBANA E CONSTRUÇÕES DIVERSAS NO MUNICÍPIO DE ANANINDEUA/PA</t>
  </si>
  <si>
    <t>TRECHO: MUNICÍPIO DE ANANINDEUA</t>
  </si>
  <si>
    <t>9.1.1</t>
  </si>
  <si>
    <t>9.1.2</t>
  </si>
  <si>
    <t>9.1.3</t>
  </si>
  <si>
    <t>9.2.1</t>
  </si>
  <si>
    <t>9.2.2</t>
  </si>
  <si>
    <t>9.2.3</t>
  </si>
  <si>
    <t>Comp 1</t>
  </si>
  <si>
    <t>Comp 2</t>
  </si>
  <si>
    <t>Comp 3</t>
  </si>
  <si>
    <t>Comp 4</t>
  </si>
  <si>
    <t>Comp 9</t>
  </si>
  <si>
    <t>Comp 7</t>
  </si>
  <si>
    <t>Comp 5</t>
  </si>
  <si>
    <t>Comp 6</t>
  </si>
  <si>
    <t>6.9</t>
  </si>
  <si>
    <t>SUB BASE - CAMADA ARENOSO</t>
  </si>
  <si>
    <t>BASE - CAMADAS PEDREGULHO E SOLO CIMENTO</t>
  </si>
  <si>
    <t>EXECUÇÃO E COMPACTAÇÃO PEDREGULHO (m³)</t>
  </si>
  <si>
    <t>EXECUÇÃO E COMPACTAÇÃO SOLO CIMENTO (m³)</t>
  </si>
  <si>
    <t>Execução e compactação de base e ou sub base para pavimentação de solo (predominantemente arenoso) com cimento (teor de 4%) - exclusive solo , escavação, carga e transporte. af_11/2019</t>
  </si>
  <si>
    <t>Recomposição de base e ou sub-base para fechamento de valas de solo melhorado com cimento (teor de 4%) - incluso retirada e colocação do material. af_12/2020</t>
  </si>
  <si>
    <t>EXECUÇÃO BGS (m³)</t>
  </si>
  <si>
    <t>EXECUÇÃO SOLO CIMENTO (m³)</t>
  </si>
  <si>
    <t>OBS: Vigência a partir de 12/2023</t>
  </si>
  <si>
    <t>MESES (ANO 1)</t>
  </si>
  <si>
    <t>MESES (ANO 2)</t>
  </si>
  <si>
    <t>10.4</t>
  </si>
  <si>
    <t>10.5</t>
  </si>
  <si>
    <t>10.6</t>
  </si>
  <si>
    <t>11.1.1</t>
  </si>
  <si>
    <t>11.1.2</t>
  </si>
  <si>
    <t>11.2.1</t>
  </si>
  <si>
    <t>11.2.2</t>
  </si>
  <si>
    <t>11.3.1</t>
  </si>
  <si>
    <t>11.3.1.1</t>
  </si>
  <si>
    <t>11.3.1.2</t>
  </si>
  <si>
    <t>11.3.1.3</t>
  </si>
  <si>
    <t>11.3.1.4</t>
  </si>
  <si>
    <t>11.4.1</t>
  </si>
  <si>
    <t>11.4.2</t>
  </si>
  <si>
    <t>11.4.3</t>
  </si>
  <si>
    <t>11.5.1</t>
  </si>
  <si>
    <t>11.5.2</t>
  </si>
  <si>
    <t>11.5.3</t>
  </si>
  <si>
    <t>11.5.4</t>
  </si>
  <si>
    <t>11.5.5</t>
  </si>
  <si>
    <t>11.5.6</t>
  </si>
  <si>
    <t>11.5.7</t>
  </si>
  <si>
    <t>11.5.8</t>
  </si>
  <si>
    <t>11.5.9</t>
  </si>
  <si>
    <t>11.5.10</t>
  </si>
  <si>
    <t>11.6</t>
  </si>
  <si>
    <t>11.6.1</t>
  </si>
  <si>
    <t>11.6.2</t>
  </si>
  <si>
    <t>11.6.3</t>
  </si>
  <si>
    <t>11.6.4</t>
  </si>
  <si>
    <t>11.6.5</t>
  </si>
  <si>
    <t>11.6.6</t>
  </si>
  <si>
    <t>11.6.7</t>
  </si>
  <si>
    <t>11.7</t>
  </si>
  <si>
    <t>11.7.1</t>
  </si>
  <si>
    <t>11.7.2</t>
  </si>
  <si>
    <t>11.7.3</t>
  </si>
  <si>
    <t>11.7.4</t>
  </si>
  <si>
    <t>11.7.5</t>
  </si>
  <si>
    <t>11.7.6</t>
  </si>
  <si>
    <t>11.7.7</t>
  </si>
  <si>
    <t>11.7.8</t>
  </si>
  <si>
    <t>11.8</t>
  </si>
  <si>
    <t>11.8.1</t>
  </si>
  <si>
    <t>TOTAL (ANO 1)</t>
  </si>
  <si>
    <t>TOTAL (ANO 2)</t>
  </si>
  <si>
    <t>SEDOP - 04/2024</t>
  </si>
  <si>
    <t>SINAPI - 05/2024</t>
  </si>
  <si>
    <t>ORSE - 06/2023</t>
  </si>
  <si>
    <t>SBC - 04/2024</t>
  </si>
  <si>
    <t>4.7</t>
  </si>
  <si>
    <t>4.7.1</t>
  </si>
  <si>
    <t>4.9.4</t>
  </si>
  <si>
    <t>4.9.5</t>
  </si>
  <si>
    <t>4.7.2</t>
  </si>
  <si>
    <t>4.7.3</t>
  </si>
  <si>
    <t>9.3</t>
  </si>
  <si>
    <t>9.4</t>
  </si>
  <si>
    <t>9.4.1</t>
  </si>
  <si>
    <t>9.4.2</t>
  </si>
  <si>
    <t>9.4.3</t>
  </si>
  <si>
    <t>9.5</t>
  </si>
  <si>
    <t>9.5.1</t>
  </si>
  <si>
    <t>9.5.2</t>
  </si>
  <si>
    <t>9.5.3</t>
  </si>
  <si>
    <t>9.5.4</t>
  </si>
  <si>
    <t>9.5.5</t>
  </si>
  <si>
    <t>9.5.6</t>
  </si>
  <si>
    <t>9.5.7</t>
  </si>
  <si>
    <t>9.5.8</t>
  </si>
  <si>
    <t>9.5.9</t>
  </si>
  <si>
    <t>9.6</t>
  </si>
  <si>
    <t>9.6.1</t>
  </si>
  <si>
    <t>9.6.2</t>
  </si>
  <si>
    <t>9.7.1</t>
  </si>
  <si>
    <t>9.7.2</t>
  </si>
  <si>
    <t>9.7.3</t>
  </si>
  <si>
    <t>9.8.1</t>
  </si>
  <si>
    <t>9.8.2</t>
  </si>
  <si>
    <t>9.8.3</t>
  </si>
  <si>
    <t>9.10</t>
  </si>
  <si>
    <t>9.10.1</t>
  </si>
  <si>
    <t>TOTAL DO ITEM 11:</t>
  </si>
  <si>
    <t>CINQUENTA E NOVE MILHÕES, DUZENTOS E OITENTA E OITO MIL, CENTO E QUARENTA E QUATRO REAIS E SETENTA CENTAVOS</t>
  </si>
  <si>
    <t>VIAS ANANINDEUA</t>
  </si>
  <si>
    <t>MOBILIZAÇÃO E DESMOBILIZAÇÃO DE EQUIPAMENTOS</t>
  </si>
  <si>
    <t>Comp 8</t>
  </si>
  <si>
    <t>MEMÓRIA DE CÁLCULO</t>
  </si>
  <si>
    <t>ANANINDEUA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</si>
</sst>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4">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_(* #,##0.0000_);_(* \(#,##0.0000\);_(* &quot;-&quot;??_);_(@_)"/>
    <numFmt numFmtId="168" formatCode="#,##0.000"/>
    <numFmt numFmtId="169" formatCode="&quot;R$&quot;\ #,##0.00"/>
    <numFmt numFmtId="170" formatCode="#,##0.000000"/>
    <numFmt numFmtId="171" formatCode="0.000%"/>
    <numFmt numFmtId="172" formatCode="#,##0.0000000"/>
    <numFmt numFmtId="173" formatCode="#,##0.0000"/>
    <numFmt numFmtId="174" formatCode="0.00000"/>
    <numFmt numFmtId="175" formatCode="_(* #,##0.00_);_(* \(#,##0.00\);_(* \-??_);_(@_)"/>
    <numFmt numFmtId="176" formatCode="_(* #,##0.00_);_(* \(#,##0.00\);_(* \ ??_);_(@_)"/>
    <numFmt numFmtId="177" formatCode="dd/mm/yy;@"/>
    <numFmt numFmtId="178" formatCode="#."/>
    <numFmt numFmtId="179" formatCode="#,##0.00000"/>
    <numFmt numFmtId="180" formatCode="0.0000%"/>
    <numFmt numFmtId="181" formatCode="#,##0.00000000"/>
    <numFmt numFmtId="182" formatCode="#,##0.0000000000"/>
    <numFmt numFmtId="183" formatCode="#,##0.000000000"/>
    <numFmt numFmtId="184" formatCode="#,##0.00&quot; &quot;"/>
    <numFmt numFmtId="185" formatCode="#,##0.000&quot; &quot;"/>
    <numFmt numFmtId="186" formatCode="#,##0.00_ ;[Red]\-#,##0.00\ "/>
    <numFmt numFmtId="187" formatCode="&quot;0&quot;General"/>
    <numFmt numFmtId="188" formatCode="[$-416]mmmm\-yy;@"/>
    <numFmt numFmtId="189" formatCode="#,##0.00000000_ ;[Red]\-#,##0.00000000\ "/>
    <numFmt numFmtId="190" formatCode="#,##0.000000000_ ;[Red]\-#,##0.000000000\ "/>
    <numFmt numFmtId="191" formatCode="#,##0.0000000_ ;[Red]\-#,##0.0000000\ "/>
    <numFmt numFmtId="192" formatCode="&quot;PV&quot;General"/>
    <numFmt numFmtId="193" formatCode="&quot;+&quot;0"/>
    <numFmt numFmtId="194" formatCode="0.0000000"/>
    <numFmt numFmtId="195" formatCode="0.0%"/>
  </numFmts>
  <fonts count="134">
    <font>
      <sz val="10"/>
      <name val="Arial"/>
    </font>
    <font>
      <sz val="11"/>
      <color theme="1"/>
      <name val="Calibri"/>
      <family val="2"/>
      <scheme val="minor"/>
    </font>
    <font>
      <sz val="10"/>
      <name val="Arial"/>
      <family val="2"/>
    </font>
    <font>
      <sz val="10"/>
      <name val="Arial"/>
      <family val="2"/>
    </font>
    <font>
      <sz val="9"/>
      <color indexed="81"/>
      <name val="Segoe UI"/>
      <family val="2"/>
    </font>
    <font>
      <b/>
      <sz val="9"/>
      <color indexed="81"/>
      <name val="Segoe UI"/>
      <family val="2"/>
    </font>
    <font>
      <sz val="11"/>
      <name val="Arial"/>
      <family val="2"/>
    </font>
    <font>
      <sz val="10"/>
      <name val="Swis721 Lt BT"/>
      <family val="2"/>
    </font>
    <font>
      <sz val="9"/>
      <name val="Arial"/>
      <family val="2"/>
      <charset val="1"/>
    </font>
    <font>
      <sz val="11"/>
      <color indexed="8"/>
      <name val="Calibri"/>
      <family val="2"/>
    </font>
    <font>
      <b/>
      <sz val="18"/>
      <name val="Ebrima"/>
    </font>
    <font>
      <sz val="10"/>
      <name val="Ebrima"/>
    </font>
    <font>
      <b/>
      <sz val="14"/>
      <name val="Ebrima"/>
    </font>
    <font>
      <sz val="11"/>
      <name val="Ebrima"/>
    </font>
    <font>
      <sz val="14"/>
      <name val="Ebrima"/>
    </font>
    <font>
      <sz val="14"/>
      <color indexed="8"/>
      <name val="Ebrima"/>
    </font>
    <font>
      <b/>
      <sz val="14"/>
      <color indexed="8"/>
      <name val="Ebrima"/>
    </font>
    <font>
      <b/>
      <sz val="14"/>
      <color indexed="62"/>
      <name val="Ebrima"/>
    </font>
    <font>
      <b/>
      <sz val="16"/>
      <name val="Ebrima"/>
    </font>
    <font>
      <b/>
      <sz val="10"/>
      <name val="Ebrima"/>
    </font>
    <font>
      <b/>
      <sz val="9"/>
      <name val="Ebrima"/>
    </font>
    <font>
      <sz val="9"/>
      <name val="Ebrima"/>
    </font>
    <font>
      <b/>
      <sz val="8"/>
      <name val="Ebrima"/>
    </font>
    <font>
      <sz val="8"/>
      <name val="Ebrima"/>
    </font>
    <font>
      <b/>
      <sz val="11"/>
      <name val="Ebrima"/>
    </font>
    <font>
      <sz val="12"/>
      <name val="Ebrima"/>
    </font>
    <font>
      <b/>
      <sz val="12"/>
      <name val="Ebrima"/>
    </font>
    <font>
      <sz val="16"/>
      <name val="Ebrima"/>
    </font>
    <font>
      <b/>
      <sz val="15"/>
      <name val="Ebrima"/>
    </font>
    <font>
      <b/>
      <sz val="20"/>
      <name val="Ebrima"/>
    </font>
    <font>
      <sz val="20"/>
      <name val="Ebrima"/>
    </font>
    <font>
      <b/>
      <sz val="20"/>
      <color indexed="59"/>
      <name val="Ebrima"/>
    </font>
    <font>
      <b/>
      <sz val="22"/>
      <name val="Ebrima"/>
    </font>
    <font>
      <sz val="22"/>
      <name val="Ebrima"/>
    </font>
    <font>
      <b/>
      <sz val="20"/>
      <color indexed="8"/>
      <name val="Ebrima"/>
    </font>
    <font>
      <sz val="36"/>
      <name val="Ebrima"/>
    </font>
    <font>
      <b/>
      <sz val="36"/>
      <name val="Ebrima"/>
    </font>
    <font>
      <sz val="34"/>
      <name val="Ebrima"/>
    </font>
    <font>
      <b/>
      <sz val="34"/>
      <name val="Ebrima"/>
    </font>
    <font>
      <b/>
      <sz val="10"/>
      <color indexed="8"/>
      <name val="Ebrima"/>
    </font>
    <font>
      <sz val="8"/>
      <name val="Arial"/>
      <family val="2"/>
    </font>
    <font>
      <b/>
      <sz val="10"/>
      <color indexed="9"/>
      <name val="Ebrima"/>
    </font>
    <font>
      <sz val="8"/>
      <name val="Arial"/>
      <family val="2"/>
    </font>
    <font>
      <sz val="11"/>
      <color theme="1"/>
      <name val="Calibri"/>
      <family val="2"/>
      <scheme val="minor"/>
    </font>
    <font>
      <sz val="10"/>
      <name val="Calibri"/>
      <family val="2"/>
      <scheme val="minor"/>
    </font>
    <font>
      <sz val="10"/>
      <color rgb="FF000000"/>
      <name val="Calibri"/>
      <family val="2"/>
      <scheme val="minor"/>
    </font>
    <font>
      <b/>
      <sz val="10"/>
      <name val="Calibri"/>
      <family val="2"/>
      <scheme val="minor"/>
    </font>
    <font>
      <sz val="10"/>
      <color theme="1"/>
      <name val="Calibri"/>
      <family val="2"/>
      <scheme val="minor"/>
    </font>
    <font>
      <sz val="14"/>
      <color theme="1"/>
      <name val="Ebrima"/>
    </font>
    <font>
      <b/>
      <sz val="14"/>
      <color theme="1"/>
      <name val="Ebrima"/>
    </font>
    <font>
      <b/>
      <sz val="12"/>
      <color theme="1"/>
      <name val="Ebrima"/>
    </font>
    <font>
      <sz val="11"/>
      <color theme="1"/>
      <name val="Ebrima"/>
    </font>
    <font>
      <sz val="10"/>
      <color theme="1"/>
      <name val="Ebrima"/>
    </font>
    <font>
      <b/>
      <sz val="10"/>
      <color theme="1"/>
      <name val="Ebrima"/>
    </font>
    <font>
      <sz val="8"/>
      <color theme="1"/>
      <name val="Ebrima"/>
    </font>
    <font>
      <b/>
      <sz val="8"/>
      <color theme="1"/>
      <name val="Ebrima"/>
    </font>
    <font>
      <sz val="10"/>
      <color rgb="FF000000"/>
      <name val="Ebrima"/>
    </font>
    <font>
      <sz val="9"/>
      <color theme="1"/>
      <name val="Ebrima"/>
    </font>
    <font>
      <b/>
      <sz val="10"/>
      <color rgb="FF000000"/>
      <name val="Ebrima"/>
    </font>
    <font>
      <b/>
      <sz val="8"/>
      <color rgb="FF000000"/>
      <name val="Ebrima"/>
    </font>
    <font>
      <b/>
      <sz val="11"/>
      <color theme="1"/>
      <name val="Ebrima"/>
    </font>
    <font>
      <sz val="9"/>
      <color rgb="FF000000"/>
      <name val="Ebrima"/>
    </font>
    <font>
      <b/>
      <sz val="9"/>
      <color rgb="FF000000"/>
      <name val="Ebrima"/>
    </font>
    <font>
      <b/>
      <sz val="32"/>
      <color indexed="8"/>
      <name val="Calibri"/>
      <family val="2"/>
      <scheme val="minor"/>
    </font>
    <font>
      <b/>
      <sz val="32"/>
      <name val="Calibri"/>
      <family val="2"/>
      <scheme val="minor"/>
    </font>
    <font>
      <b/>
      <sz val="16"/>
      <color theme="1"/>
      <name val="Ebrima"/>
    </font>
    <font>
      <sz val="16"/>
      <color theme="1"/>
      <name val="Ebrima"/>
    </font>
    <font>
      <b/>
      <sz val="10"/>
      <name val="Arial"/>
      <family val="2"/>
    </font>
    <font>
      <sz val="22"/>
      <color theme="1"/>
      <name val="Calibri"/>
      <family val="2"/>
      <scheme val="minor"/>
    </font>
    <font>
      <b/>
      <sz val="11"/>
      <color theme="1"/>
      <name val="Arial"/>
      <family val="2"/>
    </font>
    <font>
      <sz val="20"/>
      <color rgb="FFFF0000"/>
      <name val="Calibri"/>
      <family val="2"/>
      <scheme val="minor"/>
    </font>
    <font>
      <sz val="11"/>
      <color theme="1"/>
      <name val="Arial"/>
      <family val="2"/>
    </font>
    <font>
      <b/>
      <sz val="11"/>
      <name val="Arial"/>
      <family val="2"/>
    </font>
    <font>
      <b/>
      <sz val="14"/>
      <color rgb="FFFF0000"/>
      <name val="Arial"/>
      <family val="2"/>
    </font>
    <font>
      <b/>
      <sz val="8"/>
      <color rgb="FF002060"/>
      <name val="Tahoma"/>
      <family val="2"/>
    </font>
    <font>
      <b/>
      <sz val="16"/>
      <name val="Arial"/>
      <family val="2"/>
    </font>
    <font>
      <b/>
      <sz val="12"/>
      <name val="Arial"/>
      <family val="2"/>
    </font>
    <font>
      <sz val="12"/>
      <name val="Arial"/>
      <family val="2"/>
    </font>
    <font>
      <b/>
      <sz val="12"/>
      <color theme="1"/>
      <name val="Calibri"/>
      <family val="2"/>
      <scheme val="minor"/>
    </font>
    <font>
      <b/>
      <sz val="14"/>
      <name val="Arial"/>
      <family val="2"/>
    </font>
    <font>
      <sz val="14"/>
      <name val="Arial"/>
      <family val="2"/>
    </font>
    <font>
      <b/>
      <sz val="48"/>
      <name val="Arial"/>
      <family val="2"/>
    </font>
    <font>
      <sz val="12"/>
      <color indexed="8"/>
      <name val="Calibri"/>
      <family val="2"/>
    </font>
    <font>
      <b/>
      <sz val="12"/>
      <color indexed="8"/>
      <name val="Calibri"/>
      <family val="2"/>
    </font>
    <font>
      <sz val="16"/>
      <name val="Arial"/>
      <family val="2"/>
    </font>
    <font>
      <sz val="12"/>
      <name val="Arial Nova Cond"/>
      <family val="2"/>
    </font>
    <font>
      <b/>
      <sz val="12"/>
      <name val="Arial Nova Cond"/>
      <family val="2"/>
    </font>
    <font>
      <sz val="12"/>
      <name val="Times New Roman"/>
      <family val="1"/>
    </font>
    <font>
      <sz val="11"/>
      <name val="Arial Nova Cond"/>
      <family val="2"/>
    </font>
    <font>
      <b/>
      <sz val="20"/>
      <name val="Arial Nova Cond"/>
      <family val="2"/>
    </font>
    <font>
      <b/>
      <sz val="16"/>
      <name val="Arial Nova Cond"/>
      <family val="2"/>
    </font>
    <font>
      <sz val="12"/>
      <color theme="5" tint="-0.249977111117893"/>
      <name val="Arial Nova Cond"/>
      <family val="2"/>
    </font>
    <font>
      <i/>
      <sz val="12"/>
      <name val="Arial Nova Cond"/>
      <family val="2"/>
    </font>
    <font>
      <b/>
      <sz val="14"/>
      <name val="Arial Nova Cond"/>
      <family val="2"/>
    </font>
    <font>
      <b/>
      <sz val="18"/>
      <name val="Arial Nova Cond"/>
      <family val="2"/>
    </font>
    <font>
      <b/>
      <vertAlign val="subscript"/>
      <sz val="16"/>
      <name val="Arial Nova Cond"/>
      <family val="2"/>
    </font>
    <font>
      <b/>
      <vertAlign val="superscript"/>
      <sz val="16"/>
      <name val="Arial Nova Cond"/>
      <family val="2"/>
    </font>
    <font>
      <sz val="16"/>
      <name val="Arial Nova Cond"/>
      <family val="2"/>
    </font>
    <font>
      <sz val="16"/>
      <color indexed="9"/>
      <name val="Arial Nova Cond"/>
      <family val="2"/>
    </font>
    <font>
      <b/>
      <sz val="16"/>
      <color indexed="9"/>
      <name val="Arial Nova Cond"/>
      <family val="2"/>
    </font>
    <font>
      <b/>
      <sz val="16"/>
      <color indexed="10"/>
      <name val="Arial Nova Cond"/>
      <family val="2"/>
    </font>
    <font>
      <sz val="16"/>
      <color indexed="10"/>
      <name val="Arial Nova Cond"/>
      <family val="2"/>
    </font>
    <font>
      <b/>
      <sz val="16"/>
      <color theme="3" tint="0.39997558519241921"/>
      <name val="Arial Nova Cond"/>
      <family val="2"/>
    </font>
    <font>
      <sz val="18"/>
      <name val="Arial Nova Cond"/>
      <family val="2"/>
    </font>
    <font>
      <sz val="10"/>
      <name val="Arial Nova Cond"/>
      <family val="2"/>
    </font>
    <font>
      <sz val="8"/>
      <name val="Arial Nova Cond"/>
      <family val="2"/>
    </font>
    <font>
      <sz val="12"/>
      <color indexed="55"/>
      <name val="Arial Nova Cond"/>
      <family val="2"/>
    </font>
    <font>
      <b/>
      <sz val="12"/>
      <color indexed="9"/>
      <name val="Arial Nova Cond"/>
      <family val="2"/>
    </font>
    <font>
      <b/>
      <sz val="18"/>
      <name val="Arial"/>
      <family val="2"/>
    </font>
    <font>
      <b/>
      <sz val="12"/>
      <color indexed="8"/>
      <name val="Arial"/>
      <family val="2"/>
    </font>
    <font>
      <i/>
      <sz val="9"/>
      <color indexed="8"/>
      <name val="Cambria Math"/>
      <family val="1"/>
    </font>
    <font>
      <b/>
      <sz val="11"/>
      <color indexed="8"/>
      <name val="Arial"/>
      <family val="2"/>
    </font>
    <font>
      <b/>
      <sz val="9"/>
      <color indexed="8"/>
      <name val="Cambria Math"/>
      <family val="1"/>
    </font>
    <font>
      <sz val="9"/>
      <name val="Cambria Math"/>
      <family val="1"/>
    </font>
    <font>
      <sz val="10"/>
      <name val="Tahoma"/>
      <family val="2"/>
    </font>
    <font>
      <sz val="11"/>
      <name val="Calibri"/>
      <family val="2"/>
      <scheme val="minor"/>
    </font>
    <font>
      <b/>
      <sz val="11"/>
      <name val="Calibri"/>
      <family val="2"/>
      <scheme val="minor"/>
    </font>
    <font>
      <b/>
      <i/>
      <sz val="10"/>
      <name val="Calibri"/>
      <family val="2"/>
      <scheme val="minor"/>
    </font>
    <font>
      <b/>
      <sz val="11"/>
      <color rgb="FFFF0000"/>
      <name val="Calibri"/>
      <family val="2"/>
      <scheme val="minor"/>
    </font>
    <font>
      <b/>
      <i/>
      <sz val="10"/>
      <name val="Arial"/>
      <family val="2"/>
    </font>
    <font>
      <b/>
      <sz val="11"/>
      <color rgb="FFFF0000"/>
      <name val="Arial"/>
      <family val="2"/>
    </font>
    <font>
      <b/>
      <sz val="14"/>
      <name val="Calibri"/>
      <family val="2"/>
      <scheme val="minor"/>
    </font>
    <font>
      <sz val="12"/>
      <name val="Calibri"/>
      <family val="2"/>
      <scheme val="minor"/>
    </font>
    <font>
      <b/>
      <sz val="9"/>
      <name val="Calibri"/>
      <family val="2"/>
      <scheme val="minor"/>
    </font>
    <font>
      <sz val="9"/>
      <color rgb="FF000000"/>
      <name val="Calibri"/>
      <family val="2"/>
      <scheme val="minor"/>
    </font>
    <font>
      <sz val="9"/>
      <name val="Calibri"/>
      <family val="2"/>
      <scheme val="minor"/>
    </font>
    <font>
      <b/>
      <vertAlign val="superscript"/>
      <sz val="9"/>
      <name val="Calibri (Corpo)"/>
    </font>
    <font>
      <b/>
      <i/>
      <sz val="12"/>
      <name val="Arial Nova Cond"/>
      <family val="2"/>
    </font>
    <font>
      <b/>
      <sz val="16"/>
      <color rgb="FF00B0F0"/>
      <name val="Ebrima"/>
    </font>
    <font>
      <sz val="16"/>
      <color rgb="FF00B0F0"/>
      <name val="Ebrima"/>
    </font>
    <font>
      <b/>
      <sz val="18"/>
      <color rgb="FF00B0F0"/>
      <name val="Ebrima"/>
    </font>
    <font>
      <b/>
      <sz val="26"/>
      <color indexed="8"/>
      <name val="Ebrima"/>
    </font>
    <font>
      <b/>
      <sz val="26"/>
      <color theme="0"/>
      <name val="Ebrima"/>
    </font>
    <font>
      <b/>
      <sz val="26"/>
      <name val="Ebrima"/>
    </font>
  </fonts>
  <fills count="3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66"/>
        <bgColor indexed="64"/>
      </patternFill>
    </fill>
    <fill>
      <patternFill patternType="solid">
        <fgColor theme="0" tint="-0.249977111117893"/>
        <bgColor indexed="64"/>
      </patternFill>
    </fill>
    <fill>
      <patternFill patternType="solid">
        <fgColor rgb="FFCAE7EE"/>
        <bgColor indexed="64"/>
      </patternFill>
    </fill>
    <fill>
      <patternFill patternType="solid">
        <fgColor rgb="FFCAE7EE"/>
        <bgColor rgb="FF000000"/>
      </patternFill>
    </fill>
    <fill>
      <patternFill patternType="solid">
        <fgColor theme="2"/>
        <bgColor indexed="64"/>
      </patternFill>
    </fill>
    <fill>
      <patternFill patternType="solid">
        <fgColor theme="7" tint="0.79998168889431442"/>
        <bgColor indexed="64"/>
      </patternFill>
    </fill>
    <fill>
      <patternFill patternType="solid">
        <fgColor theme="1" tint="4.9989318521683403E-2"/>
        <bgColor indexed="39"/>
      </patternFill>
    </fill>
    <fill>
      <patternFill patternType="solid">
        <fgColor theme="1" tint="4.9989318521683403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indexed="47"/>
        <bgColor indexed="64"/>
      </patternFill>
    </fill>
    <fill>
      <patternFill patternType="solid">
        <fgColor rgb="FFFFFF99"/>
        <bgColor indexed="64"/>
      </patternFill>
    </fill>
    <fill>
      <patternFill patternType="solid">
        <fgColor theme="4" tint="0.59996337778862885"/>
        <bgColor indexed="64"/>
      </patternFill>
    </fill>
    <fill>
      <patternFill patternType="lightUp">
        <fgColor theme="0" tint="-0.34998626667073579"/>
        <bgColor rgb="FFFFFF99"/>
      </patternFill>
    </fill>
    <fill>
      <patternFill patternType="lightUp">
        <fgColor theme="2" tint="-9.9948118533890809E-2"/>
        <bgColor indexed="65"/>
      </patternFill>
    </fill>
    <fill>
      <patternFill patternType="solid">
        <fgColor theme="6" tint="0.79998168889431442"/>
        <bgColor indexed="64"/>
      </patternFill>
    </fill>
  </fills>
  <borders count="267">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medium">
        <color indexed="64"/>
      </right>
      <top/>
      <bottom/>
      <diagonal/>
    </border>
    <border>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dashDotDot">
        <color indexed="64"/>
      </right>
      <top/>
      <bottom/>
      <diagonal/>
    </border>
    <border>
      <left/>
      <right style="dashDotDot">
        <color indexed="64"/>
      </right>
      <top/>
      <bottom style="medium">
        <color indexed="64"/>
      </bottom>
      <diagonal/>
    </border>
    <border>
      <left style="thin">
        <color indexed="64"/>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style="thin">
        <color indexed="64"/>
      </left>
      <right/>
      <top/>
      <bottom style="thin">
        <color indexed="8"/>
      </bottom>
      <diagonal/>
    </border>
    <border>
      <left/>
      <right style="medium">
        <color indexed="64"/>
      </right>
      <top/>
      <bottom style="thin">
        <color indexed="8"/>
      </bottom>
      <diagonal/>
    </border>
    <border>
      <left style="thin">
        <color indexed="64"/>
      </left>
      <right/>
      <top style="thin">
        <color indexed="64"/>
      </top>
      <bottom style="thin">
        <color indexed="8"/>
      </bottom>
      <diagonal/>
    </border>
    <border>
      <left/>
      <right style="medium">
        <color indexed="64"/>
      </right>
      <top style="thin">
        <color indexed="64"/>
      </top>
      <bottom style="thin">
        <color indexed="8"/>
      </bottom>
      <diagonal/>
    </border>
    <border>
      <left style="thick">
        <color rgb="FFFF0000"/>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right/>
      <top/>
      <bottom style="hair">
        <color auto="1"/>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auto="1"/>
      </top>
      <bottom style="hair">
        <color auto="1"/>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style="double">
        <color theme="5" tint="-0.24994659260841701"/>
      </bottom>
      <diagonal/>
    </border>
    <border>
      <left style="thin">
        <color indexed="64"/>
      </left>
      <right style="thick">
        <color indexed="64"/>
      </right>
      <top/>
      <bottom/>
      <diagonal/>
    </border>
    <border>
      <left style="thick">
        <color indexed="64"/>
      </left>
      <right/>
      <top style="double">
        <color theme="5" tint="-0.24994659260841701"/>
      </top>
      <bottom style="double">
        <color theme="5" tint="-0.24994659260841701"/>
      </bottom>
      <diagonal/>
    </border>
    <border>
      <left/>
      <right/>
      <top style="double">
        <color theme="5" tint="-0.24994659260841701"/>
      </top>
      <bottom style="double">
        <color theme="5" tint="-0.24994659260841701"/>
      </bottom>
      <diagonal/>
    </border>
    <border>
      <left/>
      <right style="thick">
        <color indexed="64"/>
      </right>
      <top style="double">
        <color theme="5" tint="-0.24994659260841701"/>
      </top>
      <bottom style="double">
        <color theme="5" tint="-0.24994659260841701"/>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64"/>
      </top>
      <bottom/>
      <diagonal/>
    </border>
    <border>
      <left style="hair">
        <color indexed="64"/>
      </left>
      <right style="thick">
        <color indexed="64"/>
      </right>
      <top style="hair">
        <color indexed="64"/>
      </top>
      <bottom/>
      <diagonal/>
    </border>
    <border>
      <left style="hair">
        <color indexed="64"/>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top style="hair">
        <color indexed="64"/>
      </top>
      <bottom style="double">
        <color theme="5" tint="-0.24994659260841701"/>
      </bottom>
      <diagonal/>
    </border>
    <border>
      <left/>
      <right/>
      <top style="hair">
        <color indexed="64"/>
      </top>
      <bottom style="double">
        <color theme="5" tint="-0.24994659260841701"/>
      </bottom>
      <diagonal/>
    </border>
    <border>
      <left/>
      <right style="hair">
        <color indexed="64"/>
      </right>
      <top style="hair">
        <color indexed="64"/>
      </top>
      <bottom style="double">
        <color theme="5" tint="-0.24994659260841701"/>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thick">
        <color indexed="64"/>
      </left>
      <right style="thin">
        <color indexed="64"/>
      </right>
      <top/>
      <bottom style="thin">
        <color indexed="64"/>
      </bottom>
      <diagonal/>
    </border>
    <border>
      <left/>
      <right/>
      <top style="thick">
        <color indexed="64"/>
      </top>
      <bottom/>
      <diagonal/>
    </border>
    <border>
      <left style="thin">
        <color indexed="64"/>
      </left>
      <right/>
      <top/>
      <bottom style="double">
        <color theme="5" tint="-0.24994659260841701"/>
      </bottom>
      <diagonal/>
    </border>
    <border>
      <left/>
      <right/>
      <top/>
      <bottom style="double">
        <color theme="5" tint="-0.24994659260841701"/>
      </bottom>
      <diagonal/>
    </border>
    <border>
      <left/>
      <right style="thin">
        <color indexed="64"/>
      </right>
      <top/>
      <bottom style="double">
        <color theme="5" tint="-0.24994659260841701"/>
      </bottom>
      <diagonal/>
    </border>
    <border>
      <left style="hair">
        <color indexed="64"/>
      </left>
      <right/>
      <top style="double">
        <color theme="5" tint="-0.24994659260841701"/>
      </top>
      <bottom style="hair">
        <color indexed="64"/>
      </bottom>
      <diagonal/>
    </border>
    <border>
      <left/>
      <right/>
      <top style="double">
        <color theme="5" tint="-0.24994659260841701"/>
      </top>
      <bottom style="hair">
        <color indexed="64"/>
      </bottom>
      <diagonal/>
    </border>
    <border>
      <left/>
      <right style="hair">
        <color indexed="64"/>
      </right>
      <top style="double">
        <color theme="5" tint="-0.24994659260841701"/>
      </top>
      <bottom style="hair">
        <color indexed="64"/>
      </bottom>
      <diagonal/>
    </border>
    <border>
      <left style="thick">
        <color indexed="64"/>
      </left>
      <right style="thin">
        <color indexed="64"/>
      </right>
      <top style="double">
        <color theme="5" tint="-0.24994659260841701"/>
      </top>
      <bottom style="thin">
        <color indexed="64"/>
      </bottom>
      <diagonal/>
    </border>
    <border>
      <left style="thin">
        <color indexed="64"/>
      </left>
      <right style="thin">
        <color indexed="64"/>
      </right>
      <top style="double">
        <color theme="5" tint="-0.24994659260841701"/>
      </top>
      <bottom style="thin">
        <color indexed="64"/>
      </bottom>
      <diagonal/>
    </border>
    <border>
      <left style="thin">
        <color indexed="64"/>
      </left>
      <right style="thick">
        <color indexed="64"/>
      </right>
      <top style="double">
        <color theme="5" tint="-0.24994659260841701"/>
      </top>
      <bottom style="thin">
        <color indexed="64"/>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double">
        <color theme="5" tint="-0.24994659260841701"/>
      </bottom>
      <diagonal/>
    </border>
    <border>
      <left/>
      <right style="hair">
        <color indexed="64"/>
      </right>
      <top/>
      <bottom style="double">
        <color theme="5" tint="-0.24994659260841701"/>
      </bottom>
      <diagonal/>
    </border>
    <border>
      <left style="hair">
        <color indexed="64"/>
      </left>
      <right style="hair">
        <color indexed="64"/>
      </right>
      <top/>
      <bottom/>
      <diagonal/>
    </border>
    <border>
      <left style="hair">
        <color indexed="64"/>
      </left>
      <right style="thick">
        <color indexed="64"/>
      </right>
      <top/>
      <bottom/>
      <diagonal/>
    </border>
    <border>
      <left style="medium">
        <color indexed="64"/>
      </left>
      <right/>
      <top/>
      <bottom style="double">
        <color indexed="8"/>
      </bottom>
      <diagonal/>
    </border>
    <border>
      <left/>
      <right/>
      <top/>
      <bottom style="double">
        <color indexed="8"/>
      </bottom>
      <diagonal/>
    </border>
    <border>
      <left/>
      <right style="medium">
        <color indexed="64"/>
      </right>
      <top/>
      <bottom style="double">
        <color indexed="8"/>
      </bottom>
      <diagonal/>
    </border>
    <border>
      <left style="thin">
        <color indexed="8"/>
      </left>
      <right style="thin">
        <color indexed="8"/>
      </right>
      <top/>
      <bottom/>
      <diagonal/>
    </border>
    <border>
      <left style="thin">
        <color indexed="8"/>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style="double">
        <color indexed="64"/>
      </bottom>
      <diagonal/>
    </border>
    <border>
      <left style="thin">
        <color indexed="64"/>
      </left>
      <right style="thin">
        <color indexed="8"/>
      </right>
      <top/>
      <bottom style="thin">
        <color indexed="8"/>
      </bottom>
      <diagonal/>
    </border>
    <border>
      <left style="thin">
        <color indexed="8"/>
      </left>
      <right/>
      <top style="thin">
        <color indexed="8"/>
      </top>
      <bottom/>
      <diagonal/>
    </border>
    <border>
      <left/>
      <right style="medium">
        <color indexed="64"/>
      </right>
      <top style="thin">
        <color indexed="8"/>
      </top>
      <bottom/>
      <diagonal/>
    </border>
    <border>
      <left style="medium">
        <color indexed="64"/>
      </left>
      <right/>
      <top style="medium">
        <color indexed="8"/>
      </top>
      <bottom style="double">
        <color indexed="8"/>
      </bottom>
      <diagonal/>
    </border>
    <border>
      <left/>
      <right/>
      <top style="medium">
        <color indexed="8"/>
      </top>
      <bottom style="double">
        <color indexed="8"/>
      </bottom>
      <diagonal/>
    </border>
    <border>
      <left/>
      <right style="thin">
        <color indexed="8"/>
      </right>
      <top style="medium">
        <color indexed="8"/>
      </top>
      <bottom style="double">
        <color indexed="8"/>
      </bottom>
      <diagonal/>
    </border>
    <border>
      <left style="thin">
        <color indexed="8"/>
      </left>
      <right style="medium">
        <color indexed="64"/>
      </right>
      <top style="medium">
        <color indexed="8"/>
      </top>
      <bottom style="double">
        <color indexed="8"/>
      </bottom>
      <diagonal/>
    </border>
    <border>
      <left style="thin">
        <color indexed="8"/>
      </left>
      <right/>
      <top style="thin">
        <color indexed="8"/>
      </top>
      <bottom style="medium">
        <color indexed="8"/>
      </bottom>
      <diagonal/>
    </border>
    <border>
      <left/>
      <right style="medium">
        <color indexed="64"/>
      </right>
      <top style="thin">
        <color indexed="8"/>
      </top>
      <bottom style="medium">
        <color indexed="8"/>
      </bottom>
      <diagonal/>
    </border>
    <border>
      <left style="medium">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medium">
        <color indexed="8"/>
      </left>
      <right/>
      <top/>
      <bottom style="medium">
        <color indexed="8"/>
      </bottom>
      <diagonal/>
    </border>
    <border>
      <left/>
      <right/>
      <top/>
      <bottom style="medium">
        <color indexed="8"/>
      </bottom>
      <diagonal/>
    </border>
    <border>
      <left/>
      <right style="medium">
        <color indexed="64"/>
      </right>
      <top/>
      <bottom style="medium">
        <color indexed="8"/>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s>
  <cellStyleXfs count="57">
    <xf numFmtId="0" fontId="0" fillId="0" borderId="0"/>
    <xf numFmtId="164" fontId="2" fillId="0" borderId="0" applyFont="0" applyFill="0" applyBorder="0" applyAlignment="0" applyProtection="0"/>
    <xf numFmtId="0" fontId="3" fillId="0" borderId="0"/>
    <xf numFmtId="0" fontId="3" fillId="0" borderId="0"/>
    <xf numFmtId="0" fontId="43" fillId="0" borderId="0"/>
    <xf numFmtId="0" fontId="3" fillId="0" borderId="0"/>
    <xf numFmtId="0" fontId="3" fillId="0" borderId="0"/>
    <xf numFmtId="0" fontId="43" fillId="0" borderId="0"/>
    <xf numFmtId="0" fontId="6" fillId="0" borderId="0"/>
    <xf numFmtId="0" fontId="3" fillId="0" borderId="0"/>
    <xf numFmtId="0" fontId="7" fillId="0" borderId="0"/>
    <xf numFmtId="0" fontId="3" fillId="0" borderId="0"/>
    <xf numFmtId="0" fontId="7" fillId="0" borderId="0"/>
    <xf numFmtId="0" fontId="3" fillId="0" borderId="0"/>
    <xf numFmtId="0" fontId="7" fillId="0" borderId="0"/>
    <xf numFmtId="0" fontId="8" fillId="0" borderId="0"/>
    <xf numFmtId="9" fontId="2" fillId="0" borderId="0" applyFont="0" applyFill="0" applyBorder="0" applyAlignment="0" applyProtection="0"/>
    <xf numFmtId="9" fontId="43" fillId="0" borderId="0" applyFont="0" applyFill="0" applyBorder="0" applyAlignment="0" applyProtection="0"/>
    <xf numFmtId="9"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165" fontId="43" fillId="0" borderId="0" applyFont="0" applyFill="0" applyBorder="0" applyAlignment="0" applyProtection="0"/>
    <xf numFmtId="165" fontId="7" fillId="0" borderId="0" applyFont="0" applyFill="0" applyBorder="0" applyAlignment="0" applyProtection="0"/>
    <xf numFmtId="175" fontId="3" fillId="0" borderId="0" applyFill="0" applyBorder="0" applyAlignment="0" applyProtection="0"/>
    <xf numFmtId="165"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9" fillId="0" borderId="0" applyFont="0" applyFill="0" applyBorder="0" applyAlignment="0" applyProtection="0"/>
    <xf numFmtId="165" fontId="3" fillId="0" borderId="0" applyFont="0" applyFill="0" applyBorder="0" applyAlignment="0" applyProtection="0"/>
    <xf numFmtId="43" fontId="9" fillId="0" borderId="0" applyFont="0" applyFill="0" applyBorder="0" applyAlignment="0" applyProtection="0"/>
    <xf numFmtId="0" fontId="2" fillId="0" borderId="0"/>
    <xf numFmtId="0" fontId="87"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7" fillId="0" borderId="0"/>
    <xf numFmtId="0" fontId="2" fillId="0" borderId="0"/>
    <xf numFmtId="43" fontId="1" fillId="0" borderId="0" applyFont="0" applyFill="0" applyBorder="0" applyAlignment="0" applyProtection="0"/>
    <xf numFmtId="0" fontId="114" fillId="0" borderId="0"/>
    <xf numFmtId="175" fontId="2" fillId="0" borderId="0" applyFill="0" applyBorder="0" applyAlignment="0" applyProtection="0"/>
    <xf numFmtId="0" fontId="1"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1" fillId="0" borderId="0"/>
    <xf numFmtId="0" fontId="2" fillId="0" borderId="0"/>
    <xf numFmtId="43" fontId="9" fillId="0" borderId="0" applyFont="0" applyFill="0" applyBorder="0" applyAlignment="0" applyProtection="0"/>
  </cellStyleXfs>
  <cellXfs count="2636">
    <xf numFmtId="0" fontId="0" fillId="0" borderId="0" xfId="0"/>
    <xf numFmtId="0" fontId="44" fillId="0" borderId="0" xfId="0" applyFont="1" applyAlignment="1">
      <alignment vertical="center"/>
    </xf>
    <xf numFmtId="0" fontId="44" fillId="0" borderId="0" xfId="6" applyFont="1" applyAlignment="1">
      <alignment vertical="center"/>
    </xf>
    <xf numFmtId="0" fontId="45" fillId="7" borderId="0" xfId="0" applyFont="1" applyFill="1" applyAlignment="1">
      <alignment vertical="center"/>
    </xf>
    <xf numFmtId="0" fontId="44" fillId="0" borderId="1" xfId="0" applyFont="1" applyBorder="1" applyAlignment="1">
      <alignment horizontal="center" vertical="center"/>
    </xf>
    <xf numFmtId="4" fontId="44" fillId="0" borderId="1" xfId="0" applyNumberFormat="1" applyFont="1" applyBorder="1" applyAlignment="1">
      <alignment horizontal="right" vertical="center"/>
    </xf>
    <xf numFmtId="0" fontId="44" fillId="0" borderId="2" xfId="0" applyFont="1" applyBorder="1" applyAlignment="1">
      <alignment vertical="center"/>
    </xf>
    <xf numFmtId="4" fontId="44" fillId="0" borderId="3" xfId="0" applyNumberFormat="1" applyFont="1" applyBorder="1" applyAlignment="1">
      <alignment horizontal="right" vertical="center"/>
    </xf>
    <xf numFmtId="0" fontId="44" fillId="0" borderId="2" xfId="0" applyFont="1" applyBorder="1" applyAlignment="1">
      <alignment horizontal="center" vertical="center"/>
    </xf>
    <xf numFmtId="0" fontId="46" fillId="8" borderId="4" xfId="0" applyFont="1" applyFill="1" applyBorder="1" applyAlignment="1">
      <alignment vertical="center"/>
    </xf>
    <xf numFmtId="0" fontId="46" fillId="8" borderId="5" xfId="0" applyFont="1" applyFill="1" applyBorder="1" applyAlignment="1">
      <alignment vertical="center"/>
    </xf>
    <xf numFmtId="0" fontId="46" fillId="8" borderId="6" xfId="0" applyFont="1" applyFill="1" applyBorder="1" applyAlignment="1">
      <alignment vertical="center"/>
    </xf>
    <xf numFmtId="4" fontId="46" fillId="8" borderId="7" xfId="0" applyNumberFormat="1" applyFont="1" applyFill="1" applyBorder="1" applyAlignment="1">
      <alignment vertical="center"/>
    </xf>
    <xf numFmtId="0" fontId="44" fillId="0" borderId="8" xfId="0" applyFont="1" applyBorder="1" applyAlignment="1">
      <alignment vertical="center"/>
    </xf>
    <xf numFmtId="0" fontId="44" fillId="0" borderId="9" xfId="0" applyFont="1" applyBorder="1" applyAlignment="1">
      <alignment horizontal="center" vertical="center"/>
    </xf>
    <xf numFmtId="0" fontId="46" fillId="8" borderId="10" xfId="0" applyFont="1" applyFill="1" applyBorder="1" applyAlignment="1">
      <alignment vertical="center"/>
    </xf>
    <xf numFmtId="2" fontId="46" fillId="8" borderId="10" xfId="0" applyNumberFormat="1" applyFont="1" applyFill="1" applyBorder="1" applyAlignment="1">
      <alignment vertical="center"/>
    </xf>
    <xf numFmtId="4" fontId="44" fillId="0" borderId="11" xfId="0" applyNumberFormat="1" applyFont="1" applyBorder="1" applyAlignment="1">
      <alignment vertical="center"/>
    </xf>
    <xf numFmtId="0" fontId="44" fillId="0" borderId="12" xfId="0" applyFont="1" applyBorder="1" applyAlignment="1">
      <alignment horizontal="left" vertical="center" wrapText="1"/>
    </xf>
    <xf numFmtId="2" fontId="44" fillId="0" borderId="9" xfId="0" applyNumberFormat="1" applyFont="1" applyBorder="1" applyAlignment="1">
      <alignment horizontal="right" vertical="center"/>
    </xf>
    <xf numFmtId="4" fontId="44" fillId="0" borderId="9" xfId="0" applyNumberFormat="1" applyFont="1" applyBorder="1" applyAlignment="1">
      <alignment horizontal="right" vertical="center"/>
    </xf>
    <xf numFmtId="0" fontId="44" fillId="0" borderId="13" xfId="0" applyFont="1" applyBorder="1" applyAlignment="1">
      <alignment vertical="top" wrapText="1"/>
    </xf>
    <xf numFmtId="174" fontId="44" fillId="0" borderId="1" xfId="0" applyNumberFormat="1" applyFont="1" applyBorder="1" applyAlignment="1">
      <alignment horizontal="right" vertical="center"/>
    </xf>
    <xf numFmtId="0" fontId="44" fillId="0" borderId="13" xfId="0" applyFont="1" applyBorder="1" applyAlignment="1">
      <alignment vertical="center" wrapText="1"/>
    </xf>
    <xf numFmtId="166" fontId="44" fillId="0" borderId="9" xfId="0" applyNumberFormat="1" applyFont="1" applyBorder="1" applyAlignment="1">
      <alignment horizontal="right" vertical="center"/>
    </xf>
    <xf numFmtId="165" fontId="44" fillId="0" borderId="14" xfId="12" applyNumberFormat="1" applyFont="1" applyBorder="1" applyAlignment="1">
      <alignment horizontal="center" vertical="center"/>
    </xf>
    <xf numFmtId="165" fontId="44" fillId="0" borderId="15" xfId="12" applyNumberFormat="1" applyFont="1" applyBorder="1" applyAlignment="1">
      <alignment horizontal="center" vertical="center"/>
    </xf>
    <xf numFmtId="0" fontId="44" fillId="0" borderId="15" xfId="12" applyFont="1" applyBorder="1" applyAlignment="1">
      <alignment horizontal="center" vertical="center"/>
    </xf>
    <xf numFmtId="0" fontId="47" fillId="0" borderId="15" xfId="12" applyFont="1" applyBorder="1" applyAlignment="1">
      <alignment horizontal="center"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10" fontId="46" fillId="0" borderId="18" xfId="0" applyNumberFormat="1" applyFont="1" applyBorder="1" applyAlignment="1">
      <alignment horizontal="center" vertical="center"/>
    </xf>
    <xf numFmtId="4" fontId="44" fillId="0" borderId="19" xfId="0" applyNumberFormat="1" applyFont="1" applyBorder="1" applyAlignment="1">
      <alignment vertical="center"/>
    </xf>
    <xf numFmtId="0" fontId="46" fillId="9" borderId="20" xfId="0" applyFont="1" applyFill="1" applyBorder="1" applyAlignment="1">
      <alignment vertical="center"/>
    </xf>
    <xf numFmtId="0" fontId="46" fillId="9" borderId="20" xfId="0" applyFont="1" applyFill="1" applyBorder="1" applyAlignment="1">
      <alignment horizontal="center" vertical="center"/>
    </xf>
    <xf numFmtId="2" fontId="46" fillId="9" borderId="20" xfId="0" applyNumberFormat="1" applyFont="1" applyFill="1" applyBorder="1" applyAlignment="1">
      <alignment vertical="center"/>
    </xf>
    <xf numFmtId="4" fontId="46" fillId="9" borderId="21" xfId="0" applyNumberFormat="1" applyFont="1" applyFill="1" applyBorder="1" applyAlignment="1">
      <alignment vertical="center"/>
    </xf>
    <xf numFmtId="0" fontId="44" fillId="10" borderId="22" xfId="6" applyFont="1" applyFill="1" applyBorder="1" applyAlignment="1">
      <alignment vertical="center"/>
    </xf>
    <xf numFmtId="0" fontId="44" fillId="10" borderId="23" xfId="6" applyFont="1" applyFill="1" applyBorder="1" applyAlignment="1">
      <alignment vertical="center"/>
    </xf>
    <xf numFmtId="0" fontId="45" fillId="7" borderId="24" xfId="0" applyFont="1" applyFill="1" applyBorder="1" applyAlignment="1">
      <alignment horizontal="center" vertical="center"/>
    </xf>
    <xf numFmtId="0" fontId="45" fillId="7" borderId="24" xfId="0" applyFont="1" applyFill="1" applyBorder="1" applyAlignment="1">
      <alignment vertical="center"/>
    </xf>
    <xf numFmtId="0" fontId="45" fillId="7" borderId="25" xfId="0" applyFont="1" applyFill="1" applyBorder="1" applyAlignment="1">
      <alignment vertical="center"/>
    </xf>
    <xf numFmtId="165" fontId="46" fillId="11" borderId="26" xfId="12" applyNumberFormat="1" applyFont="1" applyFill="1" applyBorder="1" applyAlignment="1">
      <alignment horizontal="center" vertical="center" wrapText="1"/>
    </xf>
    <xf numFmtId="165" fontId="46" fillId="11" borderId="27" xfId="12" applyNumberFormat="1" applyFont="1" applyFill="1" applyBorder="1" applyAlignment="1">
      <alignment horizontal="center" vertical="center" wrapText="1"/>
    </xf>
    <xf numFmtId="0" fontId="45" fillId="12" borderId="28" xfId="0" applyFont="1" applyFill="1" applyBorder="1" applyAlignment="1">
      <alignment vertical="center"/>
    </xf>
    <xf numFmtId="0" fontId="48" fillId="0" borderId="0" xfId="0" applyFont="1" applyAlignment="1">
      <alignment vertical="center"/>
    </xf>
    <xf numFmtId="0" fontId="48" fillId="0" borderId="0" xfId="0" applyFont="1" applyAlignment="1">
      <alignment horizontal="center" vertical="center"/>
    </xf>
    <xf numFmtId="0" fontId="48" fillId="0" borderId="0" xfId="0" applyFont="1"/>
    <xf numFmtId="0" fontId="48" fillId="0" borderId="29" xfId="0" applyFont="1" applyBorder="1" applyAlignment="1">
      <alignment vertical="center"/>
    </xf>
    <xf numFmtId="0" fontId="48" fillId="0" borderId="24" xfId="0" applyFont="1" applyBorder="1" applyAlignment="1">
      <alignment horizontal="center" vertical="center"/>
    </xf>
    <xf numFmtId="0" fontId="48" fillId="0" borderId="30" xfId="0" applyFont="1" applyBorder="1" applyAlignment="1">
      <alignment vertical="center"/>
    </xf>
    <xf numFmtId="43" fontId="48" fillId="0" borderId="30" xfId="27" applyFont="1" applyBorder="1" applyAlignment="1">
      <alignment horizontal="center" vertical="center"/>
    </xf>
    <xf numFmtId="43" fontId="48" fillId="0" borderId="31" xfId="27" applyFont="1" applyBorder="1" applyAlignment="1">
      <alignment horizontal="center" vertical="center"/>
    </xf>
    <xf numFmtId="0" fontId="49" fillId="13" borderId="24" xfId="0" applyFont="1" applyFill="1" applyBorder="1" applyAlignment="1">
      <alignment horizontal="center" vertical="center"/>
    </xf>
    <xf numFmtId="0" fontId="49" fillId="13" borderId="30" xfId="0" applyFont="1" applyFill="1" applyBorder="1" applyAlignment="1">
      <alignment vertical="center"/>
    </xf>
    <xf numFmtId="165" fontId="49" fillId="13" borderId="30" xfId="0" applyNumberFormat="1" applyFont="1" applyFill="1" applyBorder="1" applyAlignment="1">
      <alignment horizontal="center" vertical="center"/>
    </xf>
    <xf numFmtId="165" fontId="49" fillId="13" borderId="31" xfId="0" applyNumberFormat="1" applyFont="1" applyFill="1" applyBorder="1" applyAlignment="1">
      <alignment horizontal="center" vertical="center"/>
    </xf>
    <xf numFmtId="43" fontId="48" fillId="0" borderId="30" xfId="27" applyFont="1" applyBorder="1" applyAlignment="1">
      <alignment vertical="center"/>
    </xf>
    <xf numFmtId="165" fontId="49" fillId="13" borderId="30" xfId="0" applyNumberFormat="1" applyFont="1" applyFill="1" applyBorder="1" applyAlignment="1">
      <alignment vertical="center"/>
    </xf>
    <xf numFmtId="165" fontId="49" fillId="13" borderId="31" xfId="0" applyNumberFormat="1" applyFont="1" applyFill="1" applyBorder="1" applyAlignment="1">
      <alignment vertical="center"/>
    </xf>
    <xf numFmtId="43" fontId="48" fillId="0" borderId="31" xfId="27" applyFont="1" applyBorder="1" applyAlignment="1">
      <alignment vertical="center"/>
    </xf>
    <xf numFmtId="165" fontId="48" fillId="0" borderId="30" xfId="0" applyNumberFormat="1" applyFont="1" applyBorder="1" applyAlignment="1">
      <alignment vertical="center"/>
    </xf>
    <xf numFmtId="165" fontId="48" fillId="0" borderId="31" xfId="0" applyNumberFormat="1" applyFont="1" applyBorder="1" applyAlignment="1">
      <alignment vertical="center"/>
    </xf>
    <xf numFmtId="0" fontId="49" fillId="13" borderId="32" xfId="0" applyFont="1" applyFill="1" applyBorder="1" applyAlignment="1">
      <alignment horizontal="center" vertical="center"/>
    </xf>
    <xf numFmtId="0" fontId="49" fillId="13" borderId="33" xfId="0" applyFont="1" applyFill="1" applyBorder="1" applyAlignment="1">
      <alignment vertical="center"/>
    </xf>
    <xf numFmtId="165" fontId="49" fillId="13" borderId="33" xfId="0" applyNumberFormat="1" applyFont="1" applyFill="1" applyBorder="1" applyAlignment="1">
      <alignment vertical="center"/>
    </xf>
    <xf numFmtId="165" fontId="49" fillId="13" borderId="34" xfId="0" applyNumberFormat="1" applyFont="1" applyFill="1" applyBorder="1" applyAlignment="1">
      <alignment vertical="center"/>
    </xf>
    <xf numFmtId="0" fontId="48" fillId="0" borderId="31" xfId="0" applyFont="1" applyBorder="1" applyAlignment="1">
      <alignment vertical="center"/>
    </xf>
    <xf numFmtId="0" fontId="49" fillId="0" borderId="24" xfId="0" applyFont="1" applyBorder="1" applyAlignment="1">
      <alignment horizontal="center" vertical="center"/>
    </xf>
    <xf numFmtId="0" fontId="49" fillId="0" borderId="30" xfId="0" applyFont="1" applyBorder="1" applyAlignment="1">
      <alignment vertical="center"/>
    </xf>
    <xf numFmtId="165" fontId="49" fillId="0" borderId="30" xfId="0" applyNumberFormat="1" applyFont="1" applyBorder="1" applyAlignment="1">
      <alignment vertical="center"/>
    </xf>
    <xf numFmtId="165" fontId="49" fillId="0" borderId="31" xfId="0" applyNumberFormat="1" applyFont="1" applyBorder="1" applyAlignment="1">
      <alignment vertical="center"/>
    </xf>
    <xf numFmtId="165" fontId="49" fillId="8" borderId="33" xfId="0" applyNumberFormat="1" applyFont="1" applyFill="1" applyBorder="1" applyAlignment="1">
      <alignment vertical="center"/>
    </xf>
    <xf numFmtId="165" fontId="49" fillId="8" borderId="34" xfId="0" applyNumberFormat="1" applyFont="1" applyFill="1" applyBorder="1" applyAlignment="1">
      <alignment vertical="center"/>
    </xf>
    <xf numFmtId="0" fontId="48" fillId="0" borderId="30" xfId="0" applyFont="1" applyBorder="1" applyAlignment="1">
      <alignment horizontal="justify" vertical="center" wrapText="1"/>
    </xf>
    <xf numFmtId="0" fontId="50" fillId="10" borderId="35" xfId="0" applyFont="1" applyFill="1" applyBorder="1" applyAlignment="1">
      <alignment horizontal="center" vertical="center"/>
    </xf>
    <xf numFmtId="0" fontId="50" fillId="10" borderId="0" xfId="0" applyFont="1" applyFill="1" applyAlignment="1">
      <alignment horizontal="center" vertical="center"/>
    </xf>
    <xf numFmtId="0" fontId="50" fillId="10" borderId="29" xfId="0" applyFont="1" applyFill="1" applyBorder="1" applyAlignment="1">
      <alignment horizontal="center" vertical="center"/>
    </xf>
    <xf numFmtId="0" fontId="10" fillId="0" borderId="0" xfId="0" applyFont="1" applyAlignment="1" applyProtection="1">
      <alignment horizontal="center" vertical="center"/>
      <protection locked="0"/>
    </xf>
    <xf numFmtId="0" fontId="11" fillId="0" borderId="0" xfId="9" applyFont="1"/>
    <xf numFmtId="0" fontId="10" fillId="10" borderId="35" xfId="0" applyFont="1" applyFill="1" applyBorder="1" applyAlignment="1" applyProtection="1">
      <alignment vertical="center"/>
      <protection locked="0"/>
    </xf>
    <xf numFmtId="0" fontId="10" fillId="10" borderId="29" xfId="0" applyFont="1" applyFill="1" applyBorder="1" applyAlignment="1" applyProtection="1">
      <alignment vertical="center"/>
      <protection locked="0"/>
    </xf>
    <xf numFmtId="0" fontId="10" fillId="0" borderId="0" xfId="0" applyFont="1" applyAlignment="1" applyProtection="1">
      <alignment vertical="center"/>
      <protection locked="0"/>
    </xf>
    <xf numFmtId="2" fontId="13" fillId="0" borderId="0" xfId="15" applyNumberFormat="1" applyFont="1" applyAlignment="1" applyProtection="1">
      <alignment horizontal="left" vertical="center" wrapText="1"/>
      <protection locked="0"/>
    </xf>
    <xf numFmtId="0" fontId="51" fillId="0" borderId="0" xfId="0" applyFont="1"/>
    <xf numFmtId="2" fontId="13" fillId="0" borderId="0" xfId="15" applyNumberFormat="1" applyFont="1" applyAlignment="1" applyProtection="1">
      <alignment horizontal="left" vertical="center"/>
      <protection locked="0"/>
    </xf>
    <xf numFmtId="177" fontId="13" fillId="10" borderId="23" xfId="15" applyNumberFormat="1" applyFont="1" applyFill="1" applyBorder="1" applyAlignment="1" applyProtection="1">
      <alignment horizontal="center" vertical="center"/>
      <protection locked="0"/>
    </xf>
    <xf numFmtId="169" fontId="13" fillId="0" borderId="0" xfId="0" applyNumberFormat="1" applyFont="1" applyAlignment="1" applyProtection="1">
      <alignment horizontal="center" vertical="center"/>
      <protection locked="0"/>
    </xf>
    <xf numFmtId="0" fontId="11" fillId="0" borderId="0" xfId="0" applyFont="1"/>
    <xf numFmtId="0" fontId="11" fillId="0" borderId="0" xfId="9" applyFont="1" applyAlignment="1">
      <alignment vertical="center"/>
    </xf>
    <xf numFmtId="0" fontId="14" fillId="0" borderId="35" xfId="0" applyFont="1" applyBorder="1" applyAlignment="1">
      <alignment vertical="center"/>
    </xf>
    <xf numFmtId="0" fontId="14" fillId="0" borderId="35" xfId="0" applyFont="1" applyBorder="1"/>
    <xf numFmtId="0" fontId="14" fillId="0" borderId="29" xfId="0" applyFont="1" applyBorder="1"/>
    <xf numFmtId="0" fontId="12" fillId="14" borderId="36" xfId="0" applyFont="1" applyFill="1" applyBorder="1" applyAlignment="1">
      <alignment horizontal="right" vertical="center"/>
    </xf>
    <xf numFmtId="0" fontId="12" fillId="14" borderId="37" xfId="0" applyFont="1" applyFill="1" applyBorder="1" applyAlignment="1">
      <alignment vertical="center"/>
    </xf>
    <xf numFmtId="10" fontId="12" fillId="14" borderId="38" xfId="0" applyNumberFormat="1" applyFont="1" applyFill="1" applyBorder="1" applyAlignment="1">
      <alignment vertical="center"/>
    </xf>
    <xf numFmtId="0" fontId="12" fillId="0" borderId="39" xfId="0" applyFont="1" applyBorder="1" applyAlignment="1">
      <alignment vertical="center"/>
    </xf>
    <xf numFmtId="0" fontId="12" fillId="0" borderId="37" xfId="0" applyFont="1" applyBorder="1" applyAlignment="1">
      <alignment vertical="center"/>
    </xf>
    <xf numFmtId="10" fontId="12" fillId="0" borderId="40" xfId="0" applyNumberFormat="1" applyFont="1" applyBorder="1" applyAlignment="1">
      <alignment vertical="center"/>
    </xf>
    <xf numFmtId="0" fontId="14" fillId="0" borderId="29" xfId="0" applyFont="1" applyBorder="1" applyAlignment="1">
      <alignment horizontal="right" vertical="center"/>
    </xf>
    <xf numFmtId="0" fontId="14" fillId="3" borderId="41" xfId="9" applyFont="1" applyFill="1" applyBorder="1"/>
    <xf numFmtId="0" fontId="14" fillId="3" borderId="42" xfId="9" applyFont="1" applyFill="1" applyBorder="1"/>
    <xf numFmtId="0" fontId="14" fillId="0" borderId="0" xfId="0" applyFont="1" applyAlignment="1">
      <alignment vertical="center"/>
    </xf>
    <xf numFmtId="0" fontId="52" fillId="10" borderId="22" xfId="0" applyFont="1" applyFill="1" applyBorder="1"/>
    <xf numFmtId="0" fontId="52" fillId="10" borderId="43" xfId="0" applyFont="1" applyFill="1" applyBorder="1"/>
    <xf numFmtId="0" fontId="52" fillId="10" borderId="44" xfId="0" applyFont="1" applyFill="1" applyBorder="1"/>
    <xf numFmtId="0" fontId="52" fillId="10" borderId="0" xfId="0" applyFont="1" applyFill="1" applyAlignment="1">
      <alignment horizontal="center" vertical="center"/>
    </xf>
    <xf numFmtId="0" fontId="52" fillId="0" borderId="0" xfId="0" applyFont="1" applyAlignment="1">
      <alignment horizontal="center" vertical="center"/>
    </xf>
    <xf numFmtId="0" fontId="52" fillId="0" borderId="0" xfId="0" applyFont="1"/>
    <xf numFmtId="0" fontId="53" fillId="10" borderId="0" xfId="0" applyFont="1" applyFill="1" applyAlignment="1">
      <alignment horizontal="center" vertical="center"/>
    </xf>
    <xf numFmtId="165" fontId="19" fillId="15" borderId="0" xfId="12" applyNumberFormat="1" applyFont="1" applyFill="1" applyAlignment="1">
      <alignment horizontal="center" vertical="center" wrapText="1"/>
    </xf>
    <xf numFmtId="0" fontId="19" fillId="16" borderId="0" xfId="6" applyFont="1" applyFill="1" applyAlignment="1">
      <alignment horizontal="center" vertical="center"/>
    </xf>
    <xf numFmtId="165" fontId="52" fillId="0" borderId="0" xfId="0" applyNumberFormat="1" applyFont="1" applyAlignment="1">
      <alignment vertical="center"/>
    </xf>
    <xf numFmtId="0" fontId="52" fillId="0" borderId="0" xfId="0" applyFont="1" applyAlignment="1">
      <alignment vertical="center"/>
    </xf>
    <xf numFmtId="165" fontId="11" fillId="0" borderId="0" xfId="12" applyNumberFormat="1" applyFont="1" applyAlignment="1">
      <alignment horizontal="center" vertical="center"/>
    </xf>
    <xf numFmtId="0" fontId="11" fillId="0" borderId="24" xfId="12" applyFont="1" applyBorder="1" applyAlignment="1">
      <alignment horizontal="center" vertical="center"/>
    </xf>
    <xf numFmtId="49" fontId="11" fillId="0" borderId="30" xfId="12" applyNumberFormat="1" applyFont="1" applyBorder="1" applyAlignment="1">
      <alignment horizontal="center" vertical="center"/>
    </xf>
    <xf numFmtId="0" fontId="11" fillId="0" borderId="30" xfId="12" applyFont="1" applyBorder="1" applyAlignment="1">
      <alignment horizontal="justify" vertical="center"/>
    </xf>
    <xf numFmtId="165" fontId="11" fillId="0" borderId="30" xfId="12" applyNumberFormat="1" applyFont="1" applyBorder="1" applyAlignment="1">
      <alignment horizontal="center" vertical="center"/>
    </xf>
    <xf numFmtId="166" fontId="11" fillId="0" borderId="30" xfId="12" applyNumberFormat="1" applyFont="1" applyBorder="1" applyAlignment="1">
      <alignment horizontal="center" vertical="center"/>
    </xf>
    <xf numFmtId="165" fontId="52" fillId="0" borderId="30" xfId="24" applyFont="1" applyFill="1" applyBorder="1" applyAlignment="1">
      <alignment horizontal="center" vertical="center"/>
    </xf>
    <xf numFmtId="165" fontId="52" fillId="0" borderId="31" xfId="24" applyFont="1" applyFill="1" applyBorder="1" applyAlignment="1">
      <alignment horizontal="center" vertical="center"/>
    </xf>
    <xf numFmtId="167" fontId="52" fillId="0" borderId="0" xfId="24" applyNumberFormat="1" applyFont="1" applyFill="1" applyBorder="1" applyAlignment="1">
      <alignment horizontal="center" vertical="center"/>
    </xf>
    <xf numFmtId="165" fontId="11" fillId="8" borderId="0" xfId="12" applyNumberFormat="1" applyFont="1" applyFill="1" applyAlignment="1">
      <alignment horizontal="center" vertical="center"/>
    </xf>
    <xf numFmtId="165" fontId="11" fillId="0" borderId="24" xfId="12" applyNumberFormat="1" applyFont="1" applyBorder="1" applyAlignment="1">
      <alignment horizontal="center" vertical="center"/>
    </xf>
    <xf numFmtId="165" fontId="11" fillId="0" borderId="31" xfId="12" applyNumberFormat="1" applyFont="1" applyBorder="1" applyAlignment="1">
      <alignment horizontal="center" vertical="center"/>
    </xf>
    <xf numFmtId="0" fontId="11" fillId="0" borderId="30" xfId="12" quotePrefix="1" applyFont="1" applyBorder="1" applyAlignment="1">
      <alignment horizontal="center" vertical="center"/>
    </xf>
    <xf numFmtId="0" fontId="11" fillId="0" borderId="30" xfId="12" applyFont="1" applyBorder="1" applyAlignment="1">
      <alignment horizontal="justify" vertical="top" wrapText="1"/>
    </xf>
    <xf numFmtId="43" fontId="52" fillId="0" borderId="0" xfId="0" applyNumberFormat="1" applyFont="1" applyAlignment="1">
      <alignment horizontal="center" vertical="center"/>
    </xf>
    <xf numFmtId="165" fontId="19" fillId="0" borderId="0" xfId="12" applyNumberFormat="1" applyFont="1" applyAlignment="1">
      <alignment horizontal="center" vertical="center"/>
    </xf>
    <xf numFmtId="165" fontId="52" fillId="0" borderId="30" xfId="12" applyNumberFormat="1" applyFont="1" applyBorder="1" applyAlignment="1">
      <alignment horizontal="center" vertical="center"/>
    </xf>
    <xf numFmtId="165" fontId="19" fillId="0" borderId="31" xfId="12" applyNumberFormat="1" applyFont="1" applyBorder="1" applyAlignment="1">
      <alignment horizontal="center" vertical="center"/>
    </xf>
    <xf numFmtId="165" fontId="19" fillId="17" borderId="0" xfId="12" applyNumberFormat="1" applyFont="1" applyFill="1" applyAlignment="1">
      <alignment horizontal="center" vertical="center"/>
    </xf>
    <xf numFmtId="165" fontId="11" fillId="0" borderId="39" xfId="10" applyNumberFormat="1" applyFont="1" applyBorder="1" applyAlignment="1">
      <alignment vertical="center"/>
    </xf>
    <xf numFmtId="165" fontId="11" fillId="0" borderId="37" xfId="10" applyNumberFormat="1" applyFont="1" applyBorder="1" applyAlignment="1">
      <alignment vertical="center"/>
    </xf>
    <xf numFmtId="10" fontId="11" fillId="0" borderId="30" xfId="16" applyNumberFormat="1" applyFont="1" applyFill="1" applyBorder="1" applyAlignment="1">
      <alignment vertical="center"/>
    </xf>
    <xf numFmtId="165" fontId="11" fillId="0" borderId="0" xfId="10" applyNumberFormat="1" applyFont="1" applyAlignment="1">
      <alignment horizontal="center" vertical="center"/>
    </xf>
    <xf numFmtId="165" fontId="11" fillId="14" borderId="32" xfId="12" quotePrefix="1" applyNumberFormat="1" applyFont="1" applyFill="1" applyBorder="1" applyAlignment="1">
      <alignment horizontal="center" vertical="center"/>
    </xf>
    <xf numFmtId="165" fontId="11" fillId="14" borderId="33" xfId="12" quotePrefix="1" applyNumberFormat="1" applyFont="1" applyFill="1" applyBorder="1" applyAlignment="1">
      <alignment horizontal="center" vertical="center"/>
    </xf>
    <xf numFmtId="165" fontId="19" fillId="14" borderId="34" xfId="13" applyNumberFormat="1" applyFont="1" applyFill="1" applyBorder="1" applyAlignment="1">
      <alignment horizontal="center" vertical="center"/>
    </xf>
    <xf numFmtId="165" fontId="19" fillId="17" borderId="0" xfId="13" applyNumberFormat="1" applyFont="1" applyFill="1" applyAlignment="1">
      <alignment horizontal="center" vertical="center"/>
    </xf>
    <xf numFmtId="165" fontId="11" fillId="0" borderId="0" xfId="12" quotePrefix="1" applyNumberFormat="1" applyFont="1" applyAlignment="1">
      <alignment horizontal="center" vertical="center"/>
    </xf>
    <xf numFmtId="165" fontId="19" fillId="0" borderId="0" xfId="12" applyNumberFormat="1" applyFont="1" applyAlignment="1">
      <alignment horizontal="left" vertical="center"/>
    </xf>
    <xf numFmtId="165" fontId="19" fillId="0" borderId="0" xfId="13" applyNumberFormat="1" applyFont="1" applyAlignment="1">
      <alignment horizontal="center" vertical="center"/>
    </xf>
    <xf numFmtId="0" fontId="11" fillId="0" borderId="30" xfId="12" applyFont="1" applyBorder="1" applyAlignment="1">
      <alignment horizontal="center" vertical="center"/>
    </xf>
    <xf numFmtId="165" fontId="11" fillId="0" borderId="31" xfId="10" applyNumberFormat="1" applyFont="1" applyBorder="1" applyAlignment="1">
      <alignment horizontal="center" vertical="center"/>
    </xf>
    <xf numFmtId="0" fontId="11" fillId="0" borderId="25" xfId="12" applyFont="1" applyBorder="1" applyAlignment="1">
      <alignment horizontal="center" vertical="center"/>
    </xf>
    <xf numFmtId="49" fontId="11" fillId="0" borderId="45" xfId="12" applyNumberFormat="1" applyFont="1" applyBorder="1" applyAlignment="1">
      <alignment horizontal="center" vertical="center"/>
    </xf>
    <xf numFmtId="0" fontId="11" fillId="0" borderId="45" xfId="12" applyFont="1" applyBorder="1" applyAlignment="1">
      <alignment horizontal="justify" vertical="center"/>
    </xf>
    <xf numFmtId="165" fontId="11" fillId="0" borderId="45" xfId="12" applyNumberFormat="1" applyFont="1" applyBorder="1" applyAlignment="1">
      <alignment horizontal="center" vertical="center"/>
    </xf>
    <xf numFmtId="166" fontId="11" fillId="0" borderId="45" xfId="12" applyNumberFormat="1" applyFont="1" applyBorder="1" applyAlignment="1">
      <alignment horizontal="center" vertical="center"/>
    </xf>
    <xf numFmtId="165" fontId="52" fillId="0" borderId="45" xfId="24" applyFont="1" applyFill="1" applyBorder="1" applyAlignment="1">
      <alignment horizontal="center" vertical="center"/>
    </xf>
    <xf numFmtId="0" fontId="11" fillId="0" borderId="45" xfId="12" quotePrefix="1" applyFont="1" applyBorder="1" applyAlignment="1">
      <alignment horizontal="center" vertical="center"/>
    </xf>
    <xf numFmtId="0" fontId="11" fillId="0" borderId="45" xfId="12" applyFont="1" applyBorder="1" applyAlignment="1">
      <alignment horizontal="justify" vertical="top" wrapText="1"/>
    </xf>
    <xf numFmtId="0" fontId="11" fillId="0" borderId="30" xfId="12" applyFont="1" applyBorder="1" applyAlignment="1">
      <alignment horizontal="justify" vertical="top"/>
    </xf>
    <xf numFmtId="165" fontId="19" fillId="18" borderId="46" xfId="12" applyNumberFormat="1" applyFont="1" applyFill="1" applyBorder="1" applyAlignment="1">
      <alignment horizontal="center" vertical="center" wrapText="1"/>
    </xf>
    <xf numFmtId="165" fontId="21" fillId="0" borderId="24" xfId="12" applyNumberFormat="1" applyFont="1" applyBorder="1" applyAlignment="1">
      <alignment horizontal="center" vertical="center"/>
    </xf>
    <xf numFmtId="165" fontId="21" fillId="0" borderId="30" xfId="12" applyNumberFormat="1" applyFont="1" applyBorder="1" applyAlignment="1">
      <alignment horizontal="center" vertical="center"/>
    </xf>
    <xf numFmtId="165" fontId="21" fillId="0" borderId="31" xfId="12" applyNumberFormat="1" applyFont="1" applyBorder="1" applyAlignment="1">
      <alignment horizontal="center" vertical="center"/>
    </xf>
    <xf numFmtId="165" fontId="21" fillId="0" borderId="31" xfId="10" applyNumberFormat="1" applyFont="1" applyBorder="1" applyAlignment="1">
      <alignment horizontal="center" vertical="center"/>
    </xf>
    <xf numFmtId="165" fontId="20" fillId="14" borderId="34" xfId="13" applyNumberFormat="1" applyFont="1" applyFill="1" applyBorder="1" applyAlignment="1">
      <alignment horizontal="center" vertical="center"/>
    </xf>
    <xf numFmtId="0" fontId="54" fillId="10" borderId="22" xfId="0" applyFont="1" applyFill="1" applyBorder="1"/>
    <xf numFmtId="0" fontId="54" fillId="10" borderId="43" xfId="0" applyFont="1" applyFill="1" applyBorder="1"/>
    <xf numFmtId="0" fontId="54" fillId="10" borderId="44" xfId="0" applyFont="1" applyFill="1" applyBorder="1"/>
    <xf numFmtId="0" fontId="54" fillId="10" borderId="0" xfId="0" applyFont="1" applyFill="1" applyAlignment="1">
      <alignment horizontal="center" vertical="center"/>
    </xf>
    <xf numFmtId="0" fontId="54" fillId="0" borderId="0" xfId="0" applyFont="1" applyAlignment="1">
      <alignment horizontal="center" vertical="center"/>
    </xf>
    <xf numFmtId="0" fontId="54" fillId="0" borderId="0" xfId="0" applyFont="1"/>
    <xf numFmtId="0" fontId="55" fillId="10" borderId="0" xfId="0" applyFont="1" applyFill="1" applyAlignment="1">
      <alignment horizontal="center" vertical="center"/>
    </xf>
    <xf numFmtId="165" fontId="22" fillId="15" borderId="0" xfId="12" applyNumberFormat="1" applyFont="1" applyFill="1" applyAlignment="1">
      <alignment horizontal="center" vertical="center" wrapText="1"/>
    </xf>
    <xf numFmtId="0" fontId="22" fillId="16" borderId="0" xfId="6" applyFont="1" applyFill="1" applyAlignment="1">
      <alignment horizontal="center" vertical="center"/>
    </xf>
    <xf numFmtId="165" fontId="54" fillId="0" borderId="0" xfId="0" applyNumberFormat="1" applyFont="1" applyAlignment="1">
      <alignment vertical="center"/>
    </xf>
    <xf numFmtId="0" fontId="54" fillId="0" borderId="0" xfId="0" applyFont="1" applyAlignment="1">
      <alignment vertical="center"/>
    </xf>
    <xf numFmtId="165" fontId="23" fillId="0" borderId="24" xfId="12" applyNumberFormat="1" applyFont="1" applyBorder="1" applyAlignment="1">
      <alignment horizontal="center" vertical="center"/>
    </xf>
    <xf numFmtId="165" fontId="23" fillId="0" borderId="30" xfId="12" applyNumberFormat="1" applyFont="1" applyBorder="1" applyAlignment="1">
      <alignment horizontal="center" vertical="center"/>
    </xf>
    <xf numFmtId="165" fontId="23" fillId="0" borderId="31" xfId="12" applyNumberFormat="1" applyFont="1" applyBorder="1" applyAlignment="1">
      <alignment horizontal="center" vertical="center"/>
    </xf>
    <xf numFmtId="165" fontId="23" fillId="0" borderId="0" xfId="12" applyNumberFormat="1" applyFont="1" applyAlignment="1">
      <alignment horizontal="center" vertical="center"/>
    </xf>
    <xf numFmtId="0" fontId="23" fillId="0" borderId="24" xfId="12" applyFont="1" applyBorder="1" applyAlignment="1">
      <alignment horizontal="center" vertical="center"/>
    </xf>
    <xf numFmtId="49" fontId="23" fillId="0" borderId="30" xfId="12" applyNumberFormat="1" applyFont="1" applyBorder="1" applyAlignment="1">
      <alignment horizontal="center" vertical="center"/>
    </xf>
    <xf numFmtId="0" fontId="23" fillId="0" borderId="30" xfId="12" applyFont="1" applyBorder="1" applyAlignment="1">
      <alignment horizontal="justify" vertical="center"/>
    </xf>
    <xf numFmtId="166" fontId="23" fillId="0" borderId="30" xfId="12" applyNumberFormat="1" applyFont="1" applyBorder="1" applyAlignment="1">
      <alignment horizontal="center" vertical="center"/>
    </xf>
    <xf numFmtId="165" fontId="54" fillId="0" borderId="30" xfId="24" applyFont="1" applyFill="1" applyBorder="1" applyAlignment="1">
      <alignment horizontal="center" vertical="center"/>
    </xf>
    <xf numFmtId="165" fontId="54" fillId="0" borderId="31" xfId="24" applyFont="1" applyFill="1" applyBorder="1" applyAlignment="1">
      <alignment horizontal="center" vertical="center"/>
    </xf>
    <xf numFmtId="167" fontId="54" fillId="0" borderId="0" xfId="24" applyNumberFormat="1" applyFont="1" applyFill="1" applyBorder="1" applyAlignment="1">
      <alignment horizontal="center" vertical="center"/>
    </xf>
    <xf numFmtId="0" fontId="23" fillId="0" borderId="25" xfId="12" applyFont="1" applyBorder="1" applyAlignment="1">
      <alignment horizontal="center" vertical="center"/>
    </xf>
    <xf numFmtId="0" fontId="23" fillId="0" borderId="45" xfId="12" quotePrefix="1" applyFont="1" applyBorder="1" applyAlignment="1">
      <alignment horizontal="center" vertical="center"/>
    </xf>
    <xf numFmtId="0" fontId="23" fillId="0" borderId="45" xfId="12" applyFont="1" applyBorder="1" applyAlignment="1">
      <alignment horizontal="justify" vertical="center"/>
    </xf>
    <xf numFmtId="165" fontId="23" fillId="0" borderId="45" xfId="12" applyNumberFormat="1" applyFont="1" applyBorder="1" applyAlignment="1">
      <alignment horizontal="center" vertical="center"/>
    </xf>
    <xf numFmtId="166" fontId="23" fillId="0" borderId="45" xfId="12" applyNumberFormat="1" applyFont="1" applyBorder="1" applyAlignment="1">
      <alignment horizontal="center" vertical="center"/>
    </xf>
    <xf numFmtId="165" fontId="54" fillId="0" borderId="45" xfId="24" applyFont="1" applyFill="1" applyBorder="1" applyAlignment="1">
      <alignment horizontal="center" vertical="center"/>
    </xf>
    <xf numFmtId="165" fontId="23" fillId="8" borderId="0" xfId="12" applyNumberFormat="1" applyFont="1" applyFill="1" applyAlignment="1">
      <alignment horizontal="center" vertical="center"/>
    </xf>
    <xf numFmtId="0" fontId="23" fillId="0" borderId="30" xfId="12" quotePrefix="1" applyFont="1" applyBorder="1" applyAlignment="1">
      <alignment horizontal="center" vertical="center"/>
    </xf>
    <xf numFmtId="0" fontId="23" fillId="0" borderId="30" xfId="12" applyFont="1" applyBorder="1" applyAlignment="1">
      <alignment horizontal="justify" vertical="top" wrapText="1"/>
    </xf>
    <xf numFmtId="0" fontId="23" fillId="0" borderId="45" xfId="12" applyFont="1" applyBorder="1" applyAlignment="1">
      <alignment horizontal="justify" vertical="top" wrapText="1"/>
    </xf>
    <xf numFmtId="0" fontId="23" fillId="0" borderId="30" xfId="12" applyFont="1" applyBorder="1" applyAlignment="1">
      <alignment horizontal="center" vertical="center"/>
    </xf>
    <xf numFmtId="165" fontId="54" fillId="0" borderId="30" xfId="24" applyFont="1" applyBorder="1" applyAlignment="1">
      <alignment horizontal="center" vertical="center"/>
    </xf>
    <xf numFmtId="0" fontId="23" fillId="0" borderId="30" xfId="12" applyFont="1" applyBorder="1" applyAlignment="1">
      <alignment horizontal="justify" vertical="center" wrapText="1"/>
    </xf>
    <xf numFmtId="0" fontId="23" fillId="0" borderId="45" xfId="12" applyFont="1" applyBorder="1" applyAlignment="1">
      <alignment horizontal="center" vertical="center"/>
    </xf>
    <xf numFmtId="0" fontId="23" fillId="0" borderId="45" xfId="12" applyFont="1" applyBorder="1" applyAlignment="1">
      <alignment horizontal="justify" vertical="center" wrapText="1"/>
    </xf>
    <xf numFmtId="165" fontId="54" fillId="0" borderId="45" xfId="24" applyFont="1" applyBorder="1" applyAlignment="1">
      <alignment horizontal="center" vertical="center"/>
    </xf>
    <xf numFmtId="165" fontId="22" fillId="0" borderId="0" xfId="12" applyNumberFormat="1" applyFont="1" applyAlignment="1">
      <alignment horizontal="center" vertical="center"/>
    </xf>
    <xf numFmtId="167" fontId="23" fillId="0" borderId="30" xfId="12" applyNumberFormat="1" applyFont="1" applyBorder="1" applyAlignment="1">
      <alignment horizontal="center" vertical="center"/>
    </xf>
    <xf numFmtId="165" fontId="54" fillId="0" borderId="30" xfId="12" applyNumberFormat="1" applyFont="1" applyBorder="1" applyAlignment="1">
      <alignment horizontal="center" vertical="center"/>
    </xf>
    <xf numFmtId="165" fontId="22" fillId="0" borderId="31" xfId="12" applyNumberFormat="1" applyFont="1" applyBorder="1" applyAlignment="1">
      <alignment horizontal="center" vertical="center"/>
    </xf>
    <xf numFmtId="165" fontId="22" fillId="17" borderId="0" xfId="12" applyNumberFormat="1" applyFont="1" applyFill="1" applyAlignment="1">
      <alignment horizontal="center" vertical="center"/>
    </xf>
    <xf numFmtId="165" fontId="23" fillId="0" borderId="39" xfId="10" applyNumberFormat="1" applyFont="1" applyBorder="1" applyAlignment="1">
      <alignment vertical="center"/>
    </xf>
    <xf numFmtId="165" fontId="23" fillId="0" borderId="37" xfId="10" applyNumberFormat="1" applyFont="1" applyBorder="1" applyAlignment="1">
      <alignment vertical="center"/>
    </xf>
    <xf numFmtId="10" fontId="23" fillId="0" borderId="30" xfId="16" applyNumberFormat="1" applyFont="1" applyFill="1" applyBorder="1" applyAlignment="1">
      <alignment vertical="center"/>
    </xf>
    <xf numFmtId="165" fontId="23" fillId="0" borderId="31" xfId="10" applyNumberFormat="1" applyFont="1" applyBorder="1" applyAlignment="1">
      <alignment horizontal="center" vertical="center"/>
    </xf>
    <xf numFmtId="165" fontId="23" fillId="0" borderId="0" xfId="10" applyNumberFormat="1" applyFont="1" applyAlignment="1">
      <alignment horizontal="center" vertical="center"/>
    </xf>
    <xf numFmtId="165" fontId="23" fillId="14" borderId="32" xfId="12" quotePrefix="1" applyNumberFormat="1" applyFont="1" applyFill="1" applyBorder="1" applyAlignment="1">
      <alignment horizontal="center" vertical="center"/>
    </xf>
    <xf numFmtId="165" fontId="23" fillId="14" borderId="33" xfId="12" quotePrefix="1" applyNumberFormat="1" applyFont="1" applyFill="1" applyBorder="1" applyAlignment="1">
      <alignment horizontal="center" vertical="center"/>
    </xf>
    <xf numFmtId="165" fontId="22" fillId="14" borderId="34" xfId="13" applyNumberFormat="1" applyFont="1" applyFill="1" applyBorder="1" applyAlignment="1">
      <alignment horizontal="center" vertical="center"/>
    </xf>
    <xf numFmtId="165" fontId="22" fillId="17" borderId="0" xfId="13" applyNumberFormat="1" applyFont="1" applyFill="1" applyAlignment="1">
      <alignment horizontal="center" vertical="center"/>
    </xf>
    <xf numFmtId="165" fontId="23" fillId="0" borderId="0" xfId="12" quotePrefix="1" applyNumberFormat="1" applyFont="1" applyAlignment="1">
      <alignment horizontal="center" vertical="center"/>
    </xf>
    <xf numFmtId="165" fontId="22" fillId="0" borderId="0" xfId="12" applyNumberFormat="1" applyFont="1" applyAlignment="1">
      <alignment horizontal="left" vertical="center"/>
    </xf>
    <xf numFmtId="165" fontId="22" fillId="0" borderId="0" xfId="13" applyNumberFormat="1" applyFont="1" applyAlignment="1">
      <alignment horizontal="center" vertical="center"/>
    </xf>
    <xf numFmtId="165" fontId="22" fillId="18" borderId="46" xfId="12" applyNumberFormat="1" applyFont="1" applyFill="1" applyBorder="1" applyAlignment="1">
      <alignment horizontal="center" vertical="center" wrapText="1"/>
    </xf>
    <xf numFmtId="0" fontId="54" fillId="10" borderId="35" xfId="0" applyFont="1" applyFill="1" applyBorder="1"/>
    <xf numFmtId="0" fontId="54" fillId="10" borderId="0" xfId="0" applyFont="1" applyFill="1"/>
    <xf numFmtId="0" fontId="54" fillId="10" borderId="29" xfId="0" applyFont="1" applyFill="1" applyBorder="1"/>
    <xf numFmtId="165" fontId="11" fillId="8" borderId="24" xfId="12" applyNumberFormat="1" applyFont="1" applyFill="1" applyBorder="1" applyAlignment="1">
      <alignment horizontal="center" vertical="center"/>
    </xf>
    <xf numFmtId="165" fontId="11" fillId="8" borderId="30" xfId="12" applyNumberFormat="1" applyFont="1" applyFill="1" applyBorder="1" applyAlignment="1">
      <alignment horizontal="center" vertical="center"/>
    </xf>
    <xf numFmtId="0" fontId="11" fillId="8" borderId="30" xfId="12" applyFont="1" applyFill="1" applyBorder="1" applyAlignment="1">
      <alignment horizontal="center" vertical="center"/>
    </xf>
    <xf numFmtId="0" fontId="52" fillId="8" borderId="30" xfId="12" applyFont="1" applyFill="1" applyBorder="1" applyAlignment="1">
      <alignment horizontal="center" vertical="center"/>
    </xf>
    <xf numFmtId="165" fontId="11" fillId="8" borderId="31" xfId="12" applyNumberFormat="1" applyFont="1" applyFill="1" applyBorder="1" applyAlignment="1">
      <alignment horizontal="center" vertical="center"/>
    </xf>
    <xf numFmtId="165" fontId="23" fillId="8" borderId="24" xfId="12" applyNumberFormat="1" applyFont="1" applyFill="1" applyBorder="1" applyAlignment="1">
      <alignment horizontal="center" vertical="center"/>
    </xf>
    <xf numFmtId="165" fontId="23" fillId="8" borderId="30" xfId="12" applyNumberFormat="1" applyFont="1" applyFill="1" applyBorder="1" applyAlignment="1">
      <alignment horizontal="center" vertical="center"/>
    </xf>
    <xf numFmtId="0" fontId="23" fillId="8" borderId="30" xfId="12" applyFont="1" applyFill="1" applyBorder="1" applyAlignment="1">
      <alignment horizontal="center" vertical="center"/>
    </xf>
    <xf numFmtId="0" fontId="54" fillId="8" borderId="30" xfId="12" applyFont="1" applyFill="1" applyBorder="1" applyAlignment="1">
      <alignment horizontal="center" vertical="center"/>
    </xf>
    <xf numFmtId="165" fontId="23" fillId="8" borderId="31" xfId="12" applyNumberFormat="1" applyFont="1" applyFill="1" applyBorder="1" applyAlignment="1">
      <alignment horizontal="center" vertical="center"/>
    </xf>
    <xf numFmtId="165" fontId="22" fillId="0" borderId="30" xfId="12" applyNumberFormat="1" applyFont="1" applyBorder="1" applyAlignment="1">
      <alignment vertical="center"/>
    </xf>
    <xf numFmtId="0" fontId="11" fillId="10" borderId="22" xfId="6" applyFont="1" applyFill="1" applyBorder="1" applyAlignment="1">
      <alignment vertical="center"/>
    </xf>
    <xf numFmtId="0" fontId="11" fillId="0" borderId="0" xfId="6" applyFont="1" applyAlignment="1">
      <alignment vertical="center"/>
    </xf>
    <xf numFmtId="0" fontId="11" fillId="10" borderId="23" xfId="6" applyFont="1" applyFill="1" applyBorder="1" applyAlignment="1">
      <alignment vertical="center"/>
    </xf>
    <xf numFmtId="0" fontId="56" fillId="7" borderId="0" xfId="0" applyFont="1" applyFill="1" applyAlignment="1">
      <alignment vertical="center"/>
    </xf>
    <xf numFmtId="0" fontId="11" fillId="0" borderId="0" xfId="0" applyFont="1" applyAlignment="1">
      <alignment vertical="center"/>
    </xf>
    <xf numFmtId="0" fontId="11" fillId="10" borderId="35" xfId="6" applyFont="1" applyFill="1" applyBorder="1" applyAlignment="1">
      <alignment vertical="center"/>
    </xf>
    <xf numFmtId="0" fontId="20" fillId="0" borderId="0" xfId="0" applyFont="1" applyAlignment="1">
      <alignment horizontal="center" vertical="center"/>
    </xf>
    <xf numFmtId="0" fontId="20" fillId="0" borderId="30" xfId="0" applyFont="1" applyBorder="1" applyAlignment="1">
      <alignment horizontal="center" vertical="center"/>
    </xf>
    <xf numFmtId="0" fontId="11" fillId="0" borderId="30" xfId="0" applyFont="1" applyBorder="1" applyAlignment="1">
      <alignment horizontal="center" vertical="center"/>
    </xf>
    <xf numFmtId="0" fontId="56" fillId="0" borderId="30" xfId="0" applyFont="1" applyBorder="1" applyAlignment="1">
      <alignment horizontal="center" vertical="center"/>
    </xf>
    <xf numFmtId="165" fontId="21" fillId="8" borderId="24" xfId="12" applyNumberFormat="1" applyFont="1" applyFill="1" applyBorder="1" applyAlignment="1">
      <alignment horizontal="center" vertical="center"/>
    </xf>
    <xf numFmtId="165" fontId="21" fillId="8" borderId="30" xfId="12" applyNumberFormat="1" applyFont="1" applyFill="1" applyBorder="1" applyAlignment="1">
      <alignment horizontal="center" vertical="center"/>
    </xf>
    <xf numFmtId="0" fontId="21" fillId="8" borderId="30" xfId="12" applyFont="1" applyFill="1" applyBorder="1" applyAlignment="1">
      <alignment horizontal="center" vertical="center"/>
    </xf>
    <xf numFmtId="0" fontId="57" fillId="8" borderId="30" xfId="12" applyFont="1" applyFill="1" applyBorder="1" applyAlignment="1">
      <alignment horizontal="center" vertical="center"/>
    </xf>
    <xf numFmtId="165" fontId="21" fillId="8" borderId="31" xfId="12" applyNumberFormat="1" applyFont="1" applyFill="1" applyBorder="1" applyAlignment="1">
      <alignment horizontal="center" vertical="center"/>
    </xf>
    <xf numFmtId="17" fontId="58" fillId="19" borderId="47" xfId="0" applyNumberFormat="1" applyFont="1" applyFill="1" applyBorder="1" applyAlignment="1">
      <alignment horizontal="center" vertical="center" wrapText="1"/>
    </xf>
    <xf numFmtId="165" fontId="19" fillId="18" borderId="48" xfId="12" applyNumberFormat="1" applyFont="1" applyFill="1" applyBorder="1" applyAlignment="1">
      <alignment horizontal="center" vertical="center" wrapText="1"/>
    </xf>
    <xf numFmtId="0" fontId="25" fillId="0" borderId="14" xfId="0" applyFont="1" applyBorder="1" applyAlignment="1">
      <alignment horizontal="center" vertical="center"/>
    </xf>
    <xf numFmtId="2" fontId="25" fillId="0" borderId="15" xfId="0" applyNumberFormat="1" applyFont="1" applyBorder="1" applyAlignment="1">
      <alignment horizontal="center" vertical="center" wrapText="1"/>
    </xf>
    <xf numFmtId="2" fontId="25" fillId="0" borderId="15" xfId="0" applyNumberFormat="1" applyFont="1" applyBorder="1" applyAlignment="1">
      <alignment horizontal="center" vertical="center"/>
    </xf>
    <xf numFmtId="2" fontId="25" fillId="0" borderId="49" xfId="0" applyNumberFormat="1" applyFont="1" applyBorder="1" applyAlignment="1">
      <alignment horizontal="center" vertical="center"/>
    </xf>
    <xf numFmtId="169" fontId="25" fillId="0" borderId="49" xfId="0" applyNumberFormat="1" applyFont="1" applyBorder="1" applyAlignment="1">
      <alignment horizontal="center" vertical="center"/>
    </xf>
    <xf numFmtId="169" fontId="25" fillId="0" borderId="50" xfId="0" applyNumberFormat="1"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169" fontId="25" fillId="0" borderId="0" xfId="0" applyNumberFormat="1" applyFont="1" applyAlignment="1">
      <alignment horizontal="center" vertical="center"/>
    </xf>
    <xf numFmtId="0" fontId="25" fillId="0" borderId="24" xfId="0" applyFont="1" applyBorder="1" applyAlignment="1">
      <alignment horizontal="center" vertical="center"/>
    </xf>
    <xf numFmtId="2" fontId="25" fillId="0" borderId="30" xfId="0" applyNumberFormat="1" applyFont="1" applyBorder="1" applyAlignment="1">
      <alignment horizontal="center" vertical="center" wrapText="1"/>
    </xf>
    <xf numFmtId="0" fontId="25" fillId="0" borderId="0" xfId="0" applyFont="1"/>
    <xf numFmtId="0" fontId="25" fillId="10" borderId="23" xfId="0" applyFont="1" applyFill="1" applyBorder="1" applyAlignment="1">
      <alignment horizontal="center" vertical="center" wrapText="1"/>
    </xf>
    <xf numFmtId="0" fontId="25" fillId="10" borderId="51" xfId="0" applyFont="1" applyFill="1" applyBorder="1" applyAlignment="1">
      <alignment horizontal="center" vertical="center" wrapText="1"/>
    </xf>
    <xf numFmtId="0" fontId="25" fillId="10" borderId="52" xfId="0" applyFont="1" applyFill="1" applyBorder="1" applyAlignment="1">
      <alignment horizontal="center" vertical="center" wrapText="1"/>
    </xf>
    <xf numFmtId="0" fontId="25" fillId="0" borderId="0" xfId="0" applyFont="1" applyAlignment="1">
      <alignment vertical="center"/>
    </xf>
    <xf numFmtId="0" fontId="27" fillId="0" borderId="0" xfId="0" applyFont="1" applyAlignment="1">
      <alignment vertical="center"/>
    </xf>
    <xf numFmtId="0" fontId="18" fillId="20" borderId="0" xfId="0" applyFont="1" applyFill="1" applyAlignment="1">
      <alignment horizontal="center" vertical="center" wrapText="1"/>
    </xf>
    <xf numFmtId="2" fontId="18" fillId="0" borderId="0" xfId="0" applyNumberFormat="1" applyFont="1" applyAlignment="1">
      <alignment vertical="center"/>
    </xf>
    <xf numFmtId="0" fontId="27" fillId="0" borderId="24" xfId="0" applyFont="1" applyBorder="1" applyAlignment="1">
      <alignment horizontal="center" vertical="center"/>
    </xf>
    <xf numFmtId="0" fontId="27" fillId="0" borderId="38" xfId="0" applyFont="1" applyBorder="1" applyAlignment="1">
      <alignment horizontal="center" vertical="center"/>
    </xf>
    <xf numFmtId="0" fontId="27" fillId="0" borderId="30" xfId="0" applyFont="1" applyBorder="1" applyAlignment="1">
      <alignment horizontal="center" vertical="center" wrapText="1"/>
    </xf>
    <xf numFmtId="0" fontId="27" fillId="0" borderId="30" xfId="0" applyFont="1" applyBorder="1" applyAlignment="1">
      <alignment horizontal="justify" vertical="center"/>
    </xf>
    <xf numFmtId="165" fontId="27" fillId="0" borderId="30" xfId="26" applyFont="1" applyFill="1" applyBorder="1" applyAlignment="1">
      <alignment horizontal="center" vertical="center" wrapText="1"/>
    </xf>
    <xf numFmtId="2" fontId="27" fillId="0" borderId="30" xfId="0" applyNumberFormat="1" applyFont="1" applyBorder="1" applyAlignment="1">
      <alignment horizontal="center" vertical="center" wrapText="1"/>
    </xf>
    <xf numFmtId="164" fontId="27" fillId="0" borderId="30" xfId="1" applyFont="1" applyFill="1" applyBorder="1" applyAlignment="1">
      <alignment vertical="center"/>
    </xf>
    <xf numFmtId="164" fontId="27" fillId="0" borderId="30" xfId="1" applyFont="1" applyFill="1" applyBorder="1" applyAlignment="1">
      <alignment horizontal="right" vertical="center"/>
    </xf>
    <xf numFmtId="164" fontId="27" fillId="0" borderId="31" xfId="1" applyFont="1" applyFill="1" applyBorder="1" applyAlignment="1">
      <alignment vertical="center"/>
    </xf>
    <xf numFmtId="49" fontId="27" fillId="0" borderId="30" xfId="0" applyNumberFormat="1" applyFont="1" applyBorder="1" applyAlignment="1">
      <alignment horizontal="center" vertical="center" wrapText="1"/>
    </xf>
    <xf numFmtId="0" fontId="27" fillId="0" borderId="30" xfId="0" applyFont="1" applyBorder="1" applyAlignment="1">
      <alignment horizontal="justify" vertical="center" wrapText="1"/>
    </xf>
    <xf numFmtId="0" fontId="27" fillId="0" borderId="30" xfId="0" applyFont="1" applyBorder="1" applyAlignment="1">
      <alignment horizontal="center" vertical="center"/>
    </xf>
    <xf numFmtId="0" fontId="27" fillId="0" borderId="39" xfId="0" applyFont="1" applyBorder="1" applyAlignment="1">
      <alignment horizontal="justify" vertical="center" wrapText="1"/>
    </xf>
    <xf numFmtId="4" fontId="27" fillId="0" borderId="30" xfId="0" applyNumberFormat="1" applyFont="1" applyBorder="1" applyAlignment="1">
      <alignment vertical="center" wrapText="1"/>
    </xf>
    <xf numFmtId="164" fontId="27" fillId="0" borderId="30" xfId="1" applyFont="1" applyFill="1" applyBorder="1" applyAlignment="1">
      <alignment horizontal="center" vertical="center" wrapText="1"/>
    </xf>
    <xf numFmtId="0" fontId="27" fillId="0" borderId="38" xfId="0" applyFont="1" applyBorder="1" applyAlignment="1">
      <alignment horizontal="center" vertical="center" wrapText="1"/>
    </xf>
    <xf numFmtId="0" fontId="27" fillId="3" borderId="36" xfId="0" applyFont="1" applyFill="1" applyBorder="1" applyAlignment="1">
      <alignment horizontal="center" vertical="center"/>
    </xf>
    <xf numFmtId="0" fontId="27" fillId="0" borderId="30" xfId="0" quotePrefix="1" applyFont="1" applyBorder="1" applyAlignment="1">
      <alignment horizontal="justify" vertical="center" wrapText="1"/>
    </xf>
    <xf numFmtId="0" fontId="18" fillId="3" borderId="24"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10" borderId="30" xfId="0" applyFont="1" applyFill="1" applyBorder="1" applyAlignment="1">
      <alignment horizontal="justify" vertical="center" wrapText="1"/>
    </xf>
    <xf numFmtId="164" fontId="27" fillId="0" borderId="30" xfId="1" applyFont="1" applyFill="1" applyBorder="1" applyAlignment="1">
      <alignment horizontal="right" vertical="center" wrapText="1"/>
    </xf>
    <xf numFmtId="0" fontId="27" fillId="3" borderId="24" xfId="0" applyFont="1" applyFill="1" applyBorder="1" applyAlignment="1">
      <alignment horizontal="center" vertical="center" wrapText="1"/>
    </xf>
    <xf numFmtId="4" fontId="27" fillId="0" borderId="30" xfId="1" applyNumberFormat="1" applyFont="1" applyFill="1" applyBorder="1" applyAlignment="1">
      <alignment horizontal="right" vertical="center" wrapText="1"/>
    </xf>
    <xf numFmtId="0" fontId="18" fillId="0" borderId="30" xfId="0" applyFont="1" applyBorder="1" applyAlignment="1">
      <alignment horizontal="center" vertical="center"/>
    </xf>
    <xf numFmtId="49" fontId="18" fillId="0" borderId="30" xfId="0" applyNumberFormat="1" applyFont="1" applyBorder="1" applyAlignment="1">
      <alignment horizontal="center" vertical="center" wrapText="1"/>
    </xf>
    <xf numFmtId="0" fontId="18" fillId="0" borderId="30" xfId="0" applyFont="1" applyBorder="1" applyAlignment="1">
      <alignment horizontal="justify" vertical="center" wrapText="1"/>
    </xf>
    <xf numFmtId="164" fontId="18" fillId="8" borderId="31" xfId="1" applyFont="1" applyFill="1" applyBorder="1" applyAlignment="1">
      <alignment horizontal="right" vertical="center"/>
    </xf>
    <xf numFmtId="43" fontId="27" fillId="0" borderId="0" xfId="0" applyNumberFormat="1" applyFont="1" applyAlignment="1">
      <alignment vertical="center"/>
    </xf>
    <xf numFmtId="0" fontId="18" fillId="8" borderId="36" xfId="0" applyFont="1" applyFill="1" applyBorder="1" applyAlignment="1">
      <alignment horizontal="center" vertical="center" wrapText="1"/>
    </xf>
    <xf numFmtId="0" fontId="27" fillId="10" borderId="0" xfId="0" applyFont="1" applyFill="1" applyAlignment="1">
      <alignment vertical="center"/>
    </xf>
    <xf numFmtId="0" fontId="27" fillId="10" borderId="36" xfId="0" applyFont="1" applyFill="1" applyBorder="1" applyAlignment="1">
      <alignment horizontal="center" vertical="center" wrapText="1"/>
    </xf>
    <xf numFmtId="0" fontId="27" fillId="10" borderId="39" xfId="0" applyFont="1" applyFill="1" applyBorder="1" applyAlignment="1">
      <alignment horizontal="justify" vertical="center" wrapText="1"/>
    </xf>
    <xf numFmtId="4" fontId="27" fillId="10" borderId="30" xfId="0" applyNumberFormat="1" applyFont="1" applyFill="1" applyBorder="1" applyAlignment="1">
      <alignment vertical="center" wrapText="1"/>
    </xf>
    <xf numFmtId="165" fontId="27" fillId="10" borderId="30" xfId="26" applyFont="1" applyFill="1" applyBorder="1" applyAlignment="1">
      <alignment horizontal="center" vertical="center" wrapText="1"/>
    </xf>
    <xf numFmtId="164" fontId="27" fillId="10" borderId="30" xfId="1" applyFont="1" applyFill="1" applyBorder="1" applyAlignment="1">
      <alignment vertical="center" wrapText="1"/>
    </xf>
    <xf numFmtId="164" fontId="27" fillId="0" borderId="30" xfId="1" applyFont="1" applyFill="1" applyBorder="1" applyAlignment="1">
      <alignment vertical="center" wrapText="1"/>
    </xf>
    <xf numFmtId="44" fontId="27" fillId="0" borderId="30" xfId="1" applyNumberFormat="1" applyFont="1" applyFill="1" applyBorder="1" applyAlignment="1">
      <alignment vertical="center" wrapText="1"/>
    </xf>
    <xf numFmtId="44" fontId="27" fillId="0" borderId="30" xfId="1" applyNumberFormat="1" applyFont="1" applyFill="1" applyBorder="1" applyAlignment="1">
      <alignment horizontal="right" vertical="center" wrapText="1"/>
    </xf>
    <xf numFmtId="0" fontId="18" fillId="8" borderId="24"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27" fillId="0" borderId="24" xfId="0" applyFont="1" applyBorder="1" applyAlignment="1">
      <alignment horizontal="center" vertical="center" wrapText="1"/>
    </xf>
    <xf numFmtId="164" fontId="27" fillId="0" borderId="0" xfId="1" applyFont="1" applyAlignment="1">
      <alignment vertical="center"/>
    </xf>
    <xf numFmtId="0" fontId="18" fillId="10" borderId="35" xfId="0" applyFont="1" applyFill="1" applyBorder="1" applyAlignment="1">
      <alignment vertical="center" wrapText="1"/>
    </xf>
    <xf numFmtId="165" fontId="19" fillId="18" borderId="53" xfId="12" applyNumberFormat="1" applyFont="1" applyFill="1" applyBorder="1" applyAlignment="1">
      <alignment horizontal="center" vertical="center" wrapText="1"/>
    </xf>
    <xf numFmtId="17" fontId="59" fillId="19" borderId="47" xfId="0" applyNumberFormat="1" applyFont="1" applyFill="1" applyBorder="1" applyAlignment="1">
      <alignment horizontal="center" vertical="center" wrapText="1"/>
    </xf>
    <xf numFmtId="165" fontId="22" fillId="18" borderId="54" xfId="12" applyNumberFormat="1" applyFont="1" applyFill="1" applyBorder="1" applyAlignment="1">
      <alignment horizontal="center" vertical="center" wrapText="1"/>
    </xf>
    <xf numFmtId="165" fontId="22" fillId="18" borderId="53" xfId="12" applyNumberFormat="1" applyFont="1" applyFill="1" applyBorder="1" applyAlignment="1">
      <alignment horizontal="center" vertical="center" wrapText="1"/>
    </xf>
    <xf numFmtId="165" fontId="19" fillId="18" borderId="29" xfId="12" applyNumberFormat="1" applyFont="1" applyFill="1" applyBorder="1" applyAlignment="1">
      <alignment horizontal="center" vertical="center" wrapText="1"/>
    </xf>
    <xf numFmtId="165" fontId="19" fillId="18" borderId="52" xfId="12" applyNumberFormat="1" applyFont="1" applyFill="1" applyBorder="1" applyAlignment="1">
      <alignment horizontal="center" vertical="center" wrapText="1"/>
    </xf>
    <xf numFmtId="0" fontId="27" fillId="10" borderId="22" xfId="0" applyFont="1" applyFill="1" applyBorder="1"/>
    <xf numFmtId="0" fontId="27" fillId="10" borderId="43" xfId="0" applyFont="1" applyFill="1" applyBorder="1"/>
    <xf numFmtId="0" fontId="27" fillId="10" borderId="43" xfId="0" applyFont="1" applyFill="1" applyBorder="1" applyAlignment="1">
      <alignment horizontal="center"/>
    </xf>
    <xf numFmtId="0" fontId="27" fillId="10" borderId="44" xfId="0" applyFont="1" applyFill="1" applyBorder="1"/>
    <xf numFmtId="0" fontId="27" fillId="10" borderId="0" xfId="0" applyFont="1" applyFill="1"/>
    <xf numFmtId="0" fontId="27" fillId="0" borderId="0" xfId="0" applyFont="1"/>
    <xf numFmtId="0" fontId="30" fillId="10" borderId="23" xfId="0" applyFont="1" applyFill="1" applyBorder="1" applyAlignment="1">
      <alignment horizontal="center"/>
    </xf>
    <xf numFmtId="0" fontId="30" fillId="10" borderId="51" xfId="0" applyFont="1" applyFill="1" applyBorder="1" applyAlignment="1">
      <alignment horizontal="center"/>
    </xf>
    <xf numFmtId="0" fontId="30" fillId="10" borderId="52" xfId="0" applyFont="1" applyFill="1" applyBorder="1" applyAlignment="1">
      <alignment horizontal="center"/>
    </xf>
    <xf numFmtId="0" fontId="30" fillId="10" borderId="0" xfId="0" applyFont="1" applyFill="1" applyAlignment="1">
      <alignment horizontal="center"/>
    </xf>
    <xf numFmtId="165" fontId="29" fillId="9" borderId="0" xfId="12" applyNumberFormat="1" applyFont="1" applyFill="1" applyAlignment="1">
      <alignment horizontal="center" vertical="center" wrapText="1"/>
    </xf>
    <xf numFmtId="0" fontId="22" fillId="0" borderId="0" xfId="0" applyFont="1" applyAlignment="1">
      <alignment horizontal="center" vertical="top"/>
    </xf>
    <xf numFmtId="0" fontId="29" fillId="21" borderId="0" xfId="0" applyFont="1" applyFill="1" applyAlignment="1">
      <alignment horizontal="center" vertical="center"/>
    </xf>
    <xf numFmtId="0" fontId="30" fillId="0" borderId="0" xfId="0" applyFont="1"/>
    <xf numFmtId="0" fontId="29" fillId="21" borderId="0" xfId="0" applyFont="1" applyFill="1" applyAlignment="1">
      <alignment vertical="center" wrapText="1"/>
    </xf>
    <xf numFmtId="0" fontId="29" fillId="21" borderId="0" xfId="0" applyFont="1" applyFill="1" applyAlignment="1">
      <alignment vertical="center"/>
    </xf>
    <xf numFmtId="0" fontId="30" fillId="21" borderId="30" xfId="0" applyFont="1" applyFill="1" applyBorder="1" applyAlignment="1">
      <alignment horizontal="center" vertical="center"/>
    </xf>
    <xf numFmtId="0" fontId="30" fillId="21" borderId="30" xfId="0" applyFont="1" applyFill="1" applyBorder="1" applyAlignment="1">
      <alignment horizontal="center" vertical="center" wrapText="1"/>
    </xf>
    <xf numFmtId="0" fontId="30" fillId="21" borderId="0" xfId="0" applyFont="1" applyFill="1" applyAlignment="1">
      <alignment horizontal="center" vertical="center"/>
    </xf>
    <xf numFmtId="0" fontId="29" fillId="21" borderId="33" xfId="0" applyFont="1" applyFill="1" applyBorder="1" applyAlignment="1">
      <alignment horizontal="center" vertical="center"/>
    </xf>
    <xf numFmtId="2" fontId="29" fillId="21" borderId="55" xfId="0" applyNumberFormat="1" applyFont="1" applyFill="1" applyBorder="1" applyAlignment="1">
      <alignment horizontal="center" vertical="center"/>
    </xf>
    <xf numFmtId="0" fontId="29" fillId="21" borderId="33" xfId="0" applyFont="1" applyFill="1" applyBorder="1" applyAlignment="1">
      <alignment horizontal="center" vertical="center" wrapText="1"/>
    </xf>
    <xf numFmtId="2" fontId="29" fillId="21" borderId="0" xfId="0" applyNumberFormat="1" applyFont="1" applyFill="1" applyAlignment="1">
      <alignment horizontal="center" vertical="center"/>
    </xf>
    <xf numFmtId="0" fontId="30" fillId="0" borderId="30" xfId="0" applyFont="1" applyBorder="1" applyAlignment="1">
      <alignment horizontal="center" vertical="center"/>
    </xf>
    <xf numFmtId="0" fontId="30" fillId="0" borderId="56" xfId="0" applyFont="1" applyBorder="1" applyAlignment="1">
      <alignment horizontal="center" vertical="center" wrapText="1"/>
    </xf>
    <xf numFmtId="0" fontId="30" fillId="0" borderId="15" xfId="0" applyFont="1" applyBorder="1" applyAlignment="1">
      <alignment horizontal="center" vertical="center" wrapText="1"/>
    </xf>
    <xf numFmtId="4" fontId="30" fillId="0" borderId="57"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49" xfId="0" applyNumberFormat="1" applyFont="1" applyBorder="1" applyAlignment="1">
      <alignment horizontal="center" vertical="center"/>
    </xf>
    <xf numFmtId="4" fontId="30" fillId="0" borderId="0" xfId="0" applyNumberFormat="1" applyFont="1" applyAlignment="1">
      <alignment horizontal="center" vertical="center"/>
    </xf>
    <xf numFmtId="169" fontId="30" fillId="0" borderId="30" xfId="0" applyNumberFormat="1" applyFont="1" applyBorder="1" applyAlignment="1">
      <alignment horizontal="center" vertical="center"/>
    </xf>
    <xf numFmtId="4" fontId="30" fillId="0" borderId="30" xfId="0" applyNumberFormat="1" applyFont="1" applyBorder="1" applyAlignment="1">
      <alignment horizontal="center" vertical="center"/>
    </xf>
    <xf numFmtId="165" fontId="29" fillId="0" borderId="58" xfId="0" applyNumberFormat="1" applyFont="1" applyBorder="1" applyAlignment="1">
      <alignment horizontal="center" vertical="center"/>
    </xf>
    <xf numFmtId="165" fontId="29" fillId="0" borderId="0" xfId="0" applyNumberFormat="1" applyFont="1" applyAlignment="1">
      <alignment horizontal="center" vertical="center"/>
    </xf>
    <xf numFmtId="0" fontId="29" fillId="0" borderId="0" xfId="0" applyFont="1" applyAlignment="1">
      <alignment horizontal="center" vertical="center"/>
    </xf>
    <xf numFmtId="168" fontId="29" fillId="0" borderId="0" xfId="0" applyNumberFormat="1" applyFont="1" applyAlignment="1">
      <alignment horizontal="center" vertical="center"/>
    </xf>
    <xf numFmtId="2" fontId="30" fillId="0" borderId="30" xfId="0" applyNumberFormat="1" applyFont="1" applyBorder="1" applyAlignment="1">
      <alignment horizontal="center" vertical="center"/>
    </xf>
    <xf numFmtId="0" fontId="30" fillId="0" borderId="0" xfId="0" applyFont="1" applyAlignment="1">
      <alignment horizontal="center"/>
    </xf>
    <xf numFmtId="0" fontId="30" fillId="0" borderId="15" xfId="0" applyFont="1" applyBorder="1" applyAlignment="1">
      <alignment horizontal="center" vertical="center"/>
    </xf>
    <xf numFmtId="4" fontId="30" fillId="0" borderId="45" xfId="0" applyNumberFormat="1" applyFont="1" applyBorder="1" applyAlignment="1">
      <alignment horizontal="center" vertical="center"/>
    </xf>
    <xf numFmtId="4" fontId="30" fillId="0" borderId="59" xfId="0" applyNumberFormat="1" applyFont="1" applyBorder="1" applyAlignment="1">
      <alignment horizontal="center" vertical="center"/>
    </xf>
    <xf numFmtId="0" fontId="30" fillId="0" borderId="0" xfId="0" applyFont="1" applyAlignment="1">
      <alignment horizontal="center" vertical="center"/>
    </xf>
    <xf numFmtId="0" fontId="30" fillId="0" borderId="30" xfId="0" applyFont="1" applyBorder="1" applyAlignment="1">
      <alignment horizontal="center" vertical="center" wrapText="1"/>
    </xf>
    <xf numFmtId="0" fontId="11" fillId="0" borderId="0" xfId="0" applyFont="1" applyAlignment="1">
      <alignment horizontal="center"/>
    </xf>
    <xf numFmtId="169" fontId="30" fillId="0" borderId="30" xfId="0" applyNumberFormat="1" applyFont="1" applyBorder="1" applyAlignment="1">
      <alignment horizontal="center" vertical="center" wrapText="1"/>
    </xf>
    <xf numFmtId="2" fontId="29" fillId="0" borderId="30" xfId="0" applyNumberFormat="1" applyFont="1" applyBorder="1" applyAlignment="1">
      <alignment horizontal="center" vertical="center" wrapText="1"/>
    </xf>
    <xf numFmtId="169" fontId="30" fillId="0" borderId="0" xfId="0" applyNumberFormat="1" applyFont="1" applyAlignment="1">
      <alignment horizontal="center" vertical="center" wrapText="1"/>
    </xf>
    <xf numFmtId="2" fontId="30" fillId="0" borderId="30" xfId="0" applyNumberFormat="1" applyFont="1" applyBorder="1" applyAlignment="1">
      <alignment horizontal="center" vertical="center" wrapText="1"/>
    </xf>
    <xf numFmtId="0" fontId="30" fillId="0" borderId="0" xfId="0" applyFont="1" applyAlignment="1">
      <alignment vertical="center"/>
    </xf>
    <xf numFmtId="0" fontId="30" fillId="0" borderId="23" xfId="0" applyFont="1" applyBorder="1" applyAlignment="1">
      <alignment vertical="center"/>
    </xf>
    <xf numFmtId="0" fontId="29" fillId="10" borderId="51" xfId="5" applyFont="1" applyFill="1" applyBorder="1" applyAlignment="1">
      <alignment vertical="center"/>
    </xf>
    <xf numFmtId="0" fontId="33" fillId="0" borderId="0" xfId="0" applyFont="1" applyAlignment="1">
      <alignment vertical="center"/>
    </xf>
    <xf numFmtId="165" fontId="34" fillId="21" borderId="30" xfId="21" applyNumberFormat="1" applyFont="1" applyFill="1" applyBorder="1" applyAlignment="1">
      <alignment horizontal="center" vertical="center" wrapText="1"/>
    </xf>
    <xf numFmtId="0" fontId="33" fillId="0" borderId="0" xfId="0" applyFont="1" applyAlignment="1">
      <alignment horizontal="center" vertical="center" wrapText="1"/>
    </xf>
    <xf numFmtId="0" fontId="33" fillId="0" borderId="30" xfId="0" applyFont="1" applyBorder="1" applyAlignment="1">
      <alignment horizontal="center" vertical="center" wrapText="1"/>
    </xf>
    <xf numFmtId="0" fontId="30" fillId="0" borderId="30" xfId="0" applyFont="1" applyBorder="1" applyAlignment="1">
      <alignment vertical="center"/>
    </xf>
    <xf numFmtId="0" fontId="29" fillId="0" borderId="23" xfId="5" applyFont="1" applyBorder="1" applyAlignment="1">
      <alignment vertical="center"/>
    </xf>
    <xf numFmtId="0" fontId="29" fillId="0" borderId="51" xfId="5" applyFont="1" applyBorder="1" applyAlignment="1">
      <alignment vertical="center"/>
    </xf>
    <xf numFmtId="0" fontId="33" fillId="0" borderId="0" xfId="0" applyFont="1" applyAlignment="1">
      <alignment horizontal="center" vertical="center"/>
    </xf>
    <xf numFmtId="0" fontId="33" fillId="0" borderId="39" xfId="0" applyFont="1" applyBorder="1" applyAlignment="1">
      <alignment horizontal="center" vertical="center"/>
    </xf>
    <xf numFmtId="0" fontId="30" fillId="0" borderId="0" xfId="5" applyFont="1" applyAlignment="1">
      <alignment horizontal="center" vertical="center"/>
    </xf>
    <xf numFmtId="0" fontId="33" fillId="0" borderId="0" xfId="0" applyFont="1"/>
    <xf numFmtId="0" fontId="29" fillId="0" borderId="52" xfId="5" applyFont="1" applyBorder="1" applyAlignment="1">
      <alignment horizontal="center" vertical="center"/>
    </xf>
    <xf numFmtId="165" fontId="30" fillId="0" borderId="30" xfId="0" applyNumberFormat="1" applyFont="1" applyBorder="1" applyAlignment="1">
      <alignment horizontal="center" vertical="center" wrapText="1"/>
    </xf>
    <xf numFmtId="0" fontId="19" fillId="0" borderId="30" xfId="0" applyFont="1" applyBorder="1" applyAlignment="1">
      <alignment horizontal="center" vertical="center"/>
    </xf>
    <xf numFmtId="0" fontId="19" fillId="0" borderId="24" xfId="0" applyFont="1" applyBorder="1" applyAlignment="1">
      <alignment horizontal="center"/>
    </xf>
    <xf numFmtId="0" fontId="19" fillId="0" borderId="31" xfId="0" applyFont="1" applyBorder="1" applyAlignment="1">
      <alignment horizontal="center"/>
    </xf>
    <xf numFmtId="0" fontId="19" fillId="0" borderId="38" xfId="0" applyFont="1" applyBorder="1" applyAlignment="1">
      <alignment horizontal="center"/>
    </xf>
    <xf numFmtId="175" fontId="19" fillId="0" borderId="31" xfId="25" applyFont="1" applyFill="1" applyBorder="1" applyAlignment="1" applyProtection="1">
      <alignment horizontal="center" vertical="center"/>
    </xf>
    <xf numFmtId="10" fontId="11" fillId="0" borderId="24" xfId="18" applyNumberFormat="1" applyFont="1" applyFill="1" applyBorder="1" applyAlignment="1" applyProtection="1">
      <alignment horizontal="right" vertical="center"/>
    </xf>
    <xf numFmtId="176" fontId="11" fillId="0" borderId="31" xfId="25" applyNumberFormat="1" applyFont="1" applyFill="1" applyBorder="1" applyAlignment="1" applyProtection="1">
      <alignment horizontal="right" vertical="center"/>
    </xf>
    <xf numFmtId="10" fontId="11" fillId="0" borderId="38" xfId="18" applyNumberFormat="1" applyFont="1" applyFill="1" applyBorder="1" applyAlignment="1" applyProtection="1">
      <alignment horizontal="right" vertical="center"/>
    </xf>
    <xf numFmtId="10" fontId="52" fillId="0" borderId="0" xfId="0" applyNumberFormat="1" applyFont="1"/>
    <xf numFmtId="176" fontId="11" fillId="22" borderId="24" xfId="25" applyNumberFormat="1" applyFont="1" applyFill="1" applyBorder="1" applyAlignment="1" applyProtection="1">
      <alignment horizontal="right" vertical="center"/>
    </xf>
    <xf numFmtId="176" fontId="11" fillId="22" borderId="31" xfId="25" applyNumberFormat="1" applyFont="1" applyFill="1" applyBorder="1" applyAlignment="1" applyProtection="1">
      <alignment horizontal="right" vertical="center"/>
    </xf>
    <xf numFmtId="10" fontId="11" fillId="22" borderId="38" xfId="17" applyNumberFormat="1" applyFont="1" applyFill="1" applyBorder="1" applyAlignment="1" applyProtection="1">
      <alignment horizontal="right" vertical="center"/>
    </xf>
    <xf numFmtId="176" fontId="11" fillId="22" borderId="38" xfId="25" applyNumberFormat="1" applyFont="1" applyFill="1" applyBorder="1" applyAlignment="1" applyProtection="1">
      <alignment horizontal="right" vertical="center"/>
    </xf>
    <xf numFmtId="10" fontId="11" fillId="0" borderId="38" xfId="17" applyNumberFormat="1" applyFont="1" applyFill="1" applyBorder="1" applyAlignment="1" applyProtection="1">
      <alignment horizontal="right" vertical="center"/>
    </xf>
    <xf numFmtId="10" fontId="11" fillId="0" borderId="24" xfId="18" applyNumberFormat="1" applyFont="1" applyFill="1" applyBorder="1" applyAlignment="1" applyProtection="1">
      <alignment horizontal="right"/>
    </xf>
    <xf numFmtId="176" fontId="11" fillId="0" borderId="31" xfId="25" applyNumberFormat="1" applyFont="1" applyFill="1" applyBorder="1" applyAlignment="1" applyProtection="1">
      <alignment horizontal="right"/>
    </xf>
    <xf numFmtId="10" fontId="11" fillId="0" borderId="38" xfId="17" applyNumberFormat="1" applyFont="1" applyFill="1" applyBorder="1" applyAlignment="1" applyProtection="1">
      <alignment horizontal="right"/>
    </xf>
    <xf numFmtId="10" fontId="11" fillId="23" borderId="38" xfId="17" applyNumberFormat="1" applyFont="1" applyFill="1" applyBorder="1" applyAlignment="1" applyProtection="1">
      <alignment horizontal="right"/>
    </xf>
    <xf numFmtId="176" fontId="11" fillId="23" borderId="31" xfId="25" applyNumberFormat="1" applyFont="1" applyFill="1" applyBorder="1" applyAlignment="1" applyProtection="1">
      <alignment horizontal="right"/>
    </xf>
    <xf numFmtId="10" fontId="19" fillId="0" borderId="24" xfId="18" applyNumberFormat="1" applyFont="1" applyFill="1" applyBorder="1" applyAlignment="1" applyProtection="1">
      <alignment horizontal="center" vertical="center"/>
    </xf>
    <xf numFmtId="0" fontId="19" fillId="0" borderId="33" xfId="0" applyFont="1" applyBorder="1" applyAlignment="1">
      <alignment horizontal="center" vertical="center"/>
    </xf>
    <xf numFmtId="175" fontId="19" fillId="0" borderId="34" xfId="25" applyFont="1" applyFill="1" applyBorder="1" applyAlignment="1" applyProtection="1">
      <alignment horizontal="center" vertical="center"/>
    </xf>
    <xf numFmtId="10" fontId="19" fillId="0" borderId="32" xfId="18" applyNumberFormat="1" applyFont="1" applyFill="1" applyBorder="1" applyAlignment="1" applyProtection="1">
      <alignment horizontal="center" vertical="center"/>
    </xf>
    <xf numFmtId="0" fontId="27" fillId="10" borderId="35" xfId="0" applyFont="1" applyFill="1" applyBorder="1" applyAlignment="1">
      <alignment horizontal="center" vertical="center" wrapText="1"/>
    </xf>
    <xf numFmtId="0" fontId="27" fillId="10" borderId="0" xfId="0" applyFont="1" applyFill="1" applyAlignment="1">
      <alignment horizontal="center" vertical="center" wrapText="1"/>
    </xf>
    <xf numFmtId="0" fontId="27" fillId="10" borderId="29" xfId="0" applyFont="1" applyFill="1" applyBorder="1" applyAlignment="1">
      <alignment horizontal="center" vertical="center" wrapText="1"/>
    </xf>
    <xf numFmtId="0" fontId="29" fillId="10" borderId="0" xfId="0" applyFont="1" applyFill="1" applyAlignment="1">
      <alignment horizontal="center"/>
    </xf>
    <xf numFmtId="0" fontId="24" fillId="0" borderId="35" xfId="0" applyFont="1" applyBorder="1" applyAlignment="1">
      <alignment horizontal="center" vertical="center" wrapText="1"/>
    </xf>
    <xf numFmtId="0" fontId="52" fillId="10" borderId="35" xfId="0" applyFont="1" applyFill="1" applyBorder="1" applyAlignment="1">
      <alignment horizontal="center" vertical="center"/>
    </xf>
    <xf numFmtId="0" fontId="52" fillId="10" borderId="29" xfId="0" applyFont="1" applyFill="1" applyBorder="1" applyAlignment="1">
      <alignment horizontal="center" vertical="center"/>
    </xf>
    <xf numFmtId="0" fontId="49" fillId="8" borderId="45" xfId="0" applyFont="1" applyFill="1" applyBorder="1" applyAlignment="1">
      <alignment horizontal="center" vertical="center"/>
    </xf>
    <xf numFmtId="0" fontId="49" fillId="8" borderId="15" xfId="0" applyFont="1" applyFill="1" applyBorder="1" applyAlignment="1">
      <alignment horizontal="center" vertical="center"/>
    </xf>
    <xf numFmtId="165" fontId="19" fillId="0" borderId="0" xfId="12" applyNumberFormat="1" applyFont="1" applyAlignment="1">
      <alignment vertical="center" wrapText="1"/>
    </xf>
    <xf numFmtId="0" fontId="60" fillId="0" borderId="0" xfId="0" applyFont="1"/>
    <xf numFmtId="0" fontId="60" fillId="0" borderId="0" xfId="0" applyFont="1" applyAlignment="1">
      <alignment horizontal="right"/>
    </xf>
    <xf numFmtId="0" fontId="35" fillId="0" borderId="22" xfId="0" applyFont="1" applyBorder="1"/>
    <xf numFmtId="0" fontId="36" fillId="10" borderId="43" xfId="5" applyFont="1" applyFill="1" applyBorder="1" applyAlignment="1">
      <alignment vertical="center"/>
    </xf>
    <xf numFmtId="0" fontId="36" fillId="10" borderId="44" xfId="5" applyFont="1" applyFill="1" applyBorder="1" applyAlignment="1">
      <alignment vertical="center"/>
    </xf>
    <xf numFmtId="0" fontId="35" fillId="10" borderId="35" xfId="0" applyFont="1" applyFill="1" applyBorder="1" applyAlignment="1">
      <alignment horizontal="center" vertical="center" wrapText="1"/>
    </xf>
    <xf numFmtId="0" fontId="35" fillId="10" borderId="0" xfId="0" applyFont="1" applyFill="1" applyAlignment="1">
      <alignment horizontal="center" vertical="center" wrapText="1"/>
    </xf>
    <xf numFmtId="0" fontId="35" fillId="10" borderId="29" xfId="0" applyFont="1" applyFill="1" applyBorder="1" applyAlignment="1">
      <alignment horizontal="center" vertical="center" wrapText="1"/>
    </xf>
    <xf numFmtId="0" fontId="36" fillId="0" borderId="0" xfId="0" applyFont="1" applyAlignment="1">
      <alignment horizontal="center" vertical="center"/>
    </xf>
    <xf numFmtId="0" fontId="35" fillId="0" borderId="23" xfId="0" applyFont="1" applyBorder="1"/>
    <xf numFmtId="0" fontId="36" fillId="10" borderId="51" xfId="5" applyFont="1" applyFill="1" applyBorder="1" applyAlignment="1">
      <alignment vertical="center"/>
    </xf>
    <xf numFmtId="0" fontId="36" fillId="10" borderId="52" xfId="5" applyFont="1" applyFill="1" applyBorder="1" applyAlignment="1">
      <alignment vertical="center"/>
    </xf>
    <xf numFmtId="0" fontId="30" fillId="0" borderId="35" xfId="0" applyFont="1" applyBorder="1" applyAlignment="1">
      <alignment vertical="center"/>
    </xf>
    <xf numFmtId="0" fontId="30" fillId="10" borderId="35" xfId="0" applyFont="1" applyFill="1" applyBorder="1" applyAlignment="1">
      <alignment horizontal="center"/>
    </xf>
    <xf numFmtId="0" fontId="30" fillId="10" borderId="29" xfId="0" applyFont="1" applyFill="1" applyBorder="1" applyAlignment="1">
      <alignment horizontal="center"/>
    </xf>
    <xf numFmtId="0" fontId="27" fillId="0" borderId="0" xfId="0" applyFont="1" applyAlignment="1">
      <alignment horizontal="center" vertical="center"/>
    </xf>
    <xf numFmtId="0" fontId="11" fillId="0" borderId="35" xfId="0" applyFont="1" applyBorder="1"/>
    <xf numFmtId="0" fontId="29" fillId="21" borderId="34" xfId="0" applyFont="1" applyFill="1" applyBorder="1" applyAlignment="1">
      <alignment horizontal="center" vertical="center"/>
    </xf>
    <xf numFmtId="4" fontId="30" fillId="0" borderId="50" xfId="0" applyNumberFormat="1" applyFont="1" applyBorder="1" applyAlignment="1">
      <alignment horizontal="center" vertical="center"/>
    </xf>
    <xf numFmtId="0" fontId="29" fillId="0" borderId="35" xfId="0" applyFont="1" applyBorder="1" applyAlignment="1">
      <alignment vertical="center"/>
    </xf>
    <xf numFmtId="0" fontId="30" fillId="0" borderId="29" xfId="0" applyFont="1" applyBorder="1"/>
    <xf numFmtId="0" fontId="30" fillId="0" borderId="35" xfId="0" applyFont="1" applyBorder="1"/>
    <xf numFmtId="0" fontId="36" fillId="0" borderId="35" xfId="0" applyFont="1" applyBorder="1" applyAlignment="1">
      <alignment vertical="center"/>
    </xf>
    <xf numFmtId="165" fontId="19" fillId="0" borderId="31" xfId="12" applyNumberFormat="1" applyFont="1" applyBorder="1" applyAlignment="1">
      <alignment vertical="center"/>
    </xf>
    <xf numFmtId="0" fontId="53" fillId="0" borderId="35" xfId="0" applyFont="1" applyBorder="1" applyAlignment="1">
      <alignment horizontal="center" vertical="center"/>
    </xf>
    <xf numFmtId="0" fontId="49" fillId="0" borderId="35" xfId="0" applyFont="1" applyBorder="1" applyAlignment="1">
      <alignment horizontal="center" vertical="center"/>
    </xf>
    <xf numFmtId="0" fontId="49" fillId="8" borderId="61" xfId="0" applyFont="1" applyFill="1" applyBorder="1" applyAlignment="1">
      <alignment horizontal="center" vertical="center"/>
    </xf>
    <xf numFmtId="0" fontId="49" fillId="8" borderId="50" xfId="0" applyFont="1" applyFill="1" applyBorder="1" applyAlignment="1">
      <alignment horizontal="center" vertical="center"/>
    </xf>
    <xf numFmtId="0" fontId="10" fillId="10" borderId="0" xfId="0" applyFont="1" applyFill="1" applyAlignment="1" applyProtection="1">
      <alignment vertical="center"/>
      <protection locked="0"/>
    </xf>
    <xf numFmtId="0" fontId="12" fillId="0" borderId="35" xfId="9" applyFont="1" applyBorder="1" applyAlignment="1">
      <alignment horizontal="center" vertical="center"/>
    </xf>
    <xf numFmtId="0" fontId="15" fillId="0" borderId="36" xfId="0" applyFont="1" applyBorder="1" applyAlignment="1">
      <alignment horizontal="center" vertical="center"/>
    </xf>
    <xf numFmtId="2" fontId="15" fillId="0" borderId="31" xfId="0" applyNumberFormat="1" applyFont="1" applyBorder="1" applyAlignment="1">
      <alignment horizontal="center" vertical="center"/>
    </xf>
    <xf numFmtId="2" fontId="15" fillId="8" borderId="31" xfId="0" applyNumberFormat="1" applyFont="1" applyFill="1" applyBorder="1" applyAlignment="1">
      <alignment horizontal="center" vertical="center"/>
    </xf>
    <xf numFmtId="0" fontId="15" fillId="0" borderId="24" xfId="0" applyFont="1" applyBorder="1" applyAlignment="1">
      <alignment horizontal="center" vertical="center"/>
    </xf>
    <xf numFmtId="0" fontId="15" fillId="0" borderId="31" xfId="0" applyFont="1" applyBorder="1" applyAlignment="1">
      <alignment horizontal="center" vertical="center" wrapText="1"/>
    </xf>
    <xf numFmtId="0" fontId="15" fillId="0" borderId="62" xfId="0" applyFont="1" applyBorder="1" applyAlignment="1">
      <alignment horizontal="center" vertical="center"/>
    </xf>
    <xf numFmtId="2" fontId="15" fillId="0" borderId="34" xfId="0" applyNumberFormat="1" applyFont="1" applyBorder="1" applyAlignment="1">
      <alignment horizontal="center" vertical="center"/>
    </xf>
    <xf numFmtId="169" fontId="10" fillId="18" borderId="63" xfId="12" applyNumberFormat="1" applyFont="1" applyFill="1" applyBorder="1" applyAlignment="1">
      <alignment vertical="center" wrapText="1"/>
    </xf>
    <xf numFmtId="0" fontId="27" fillId="0" borderId="22" xfId="0" applyFont="1" applyBorder="1" applyAlignment="1">
      <alignment vertical="center"/>
    </xf>
    <xf numFmtId="0" fontId="27" fillId="0" borderId="43" xfId="0" applyFont="1" applyBorder="1" applyAlignment="1">
      <alignment vertical="center"/>
    </xf>
    <xf numFmtId="0" fontId="27" fillId="0" borderId="35" xfId="0" applyFont="1" applyBorder="1" applyAlignment="1">
      <alignment vertical="center"/>
    </xf>
    <xf numFmtId="0" fontId="27" fillId="10" borderId="35" xfId="0" applyFont="1" applyFill="1" applyBorder="1" applyAlignment="1">
      <alignment vertical="center"/>
    </xf>
    <xf numFmtId="0" fontId="27" fillId="0" borderId="41" xfId="0" applyFont="1" applyBorder="1" applyAlignment="1">
      <alignment vertical="center"/>
    </xf>
    <xf numFmtId="0" fontId="27" fillId="0" borderId="42" xfId="0" applyFont="1" applyBorder="1" applyAlignment="1">
      <alignment vertical="center"/>
    </xf>
    <xf numFmtId="164" fontId="18" fillId="8" borderId="34" xfId="1" applyFont="1" applyFill="1" applyBorder="1" applyAlignment="1">
      <alignment horizontal="right" vertical="center"/>
    </xf>
    <xf numFmtId="0" fontId="20" fillId="0" borderId="38" xfId="0" applyFont="1" applyBorder="1" applyAlignment="1">
      <alignment horizontal="center" vertical="center"/>
    </xf>
    <xf numFmtId="1" fontId="21" fillId="0" borderId="30" xfId="0" applyNumberFormat="1" applyFont="1" applyBorder="1" applyAlignment="1">
      <alignment horizontal="center" vertical="center"/>
    </xf>
    <xf numFmtId="0" fontId="21" fillId="0" borderId="30" xfId="0" applyFont="1" applyBorder="1" applyAlignment="1">
      <alignment horizontal="center" vertical="center"/>
    </xf>
    <xf numFmtId="169" fontId="61" fillId="0" borderId="30" xfId="0" applyNumberFormat="1" applyFont="1" applyBorder="1" applyAlignment="1">
      <alignment horizontal="center" vertical="center"/>
    </xf>
    <xf numFmtId="169" fontId="62" fillId="0" borderId="30" xfId="0" applyNumberFormat="1" applyFont="1" applyBorder="1" applyAlignment="1">
      <alignment horizontal="center" vertical="center"/>
    </xf>
    <xf numFmtId="0" fontId="60" fillId="0" borderId="0" xfId="0" applyFont="1" applyAlignment="1">
      <alignment horizontal="center"/>
    </xf>
    <xf numFmtId="176" fontId="11" fillId="0" borderId="38" xfId="25" applyNumberFormat="1" applyFont="1" applyFill="1" applyBorder="1" applyAlignment="1" applyProtection="1">
      <alignment horizontal="right" vertical="center"/>
    </xf>
    <xf numFmtId="0" fontId="18" fillId="0" borderId="39" xfId="0" applyFont="1" applyBorder="1" applyAlignment="1">
      <alignment horizontal="justify" vertical="center" wrapText="1"/>
    </xf>
    <xf numFmtId="0" fontId="18" fillId="10" borderId="39" xfId="0" applyFont="1" applyFill="1" applyBorder="1" applyAlignment="1">
      <alignment horizontal="justify" vertical="center" wrapText="1"/>
    </xf>
    <xf numFmtId="0" fontId="18" fillId="10" borderId="36" xfId="0" applyFont="1" applyFill="1" applyBorder="1" applyAlignment="1">
      <alignment horizontal="center" vertical="center" wrapText="1"/>
    </xf>
    <xf numFmtId="0" fontId="37" fillId="0" borderId="14" xfId="0" applyFont="1" applyBorder="1" applyAlignment="1">
      <alignment horizontal="center" vertical="center"/>
    </xf>
    <xf numFmtId="0" fontId="37" fillId="0" borderId="64" xfId="5" applyFont="1" applyBorder="1" applyAlignment="1">
      <alignment horizontal="left" vertical="center" wrapText="1"/>
    </xf>
    <xf numFmtId="2" fontId="37" fillId="0" borderId="64" xfId="5" applyNumberFormat="1" applyFont="1" applyBorder="1" applyAlignment="1">
      <alignment horizontal="center" vertical="center" wrapText="1"/>
    </xf>
    <xf numFmtId="4" fontId="37" fillId="0" borderId="15" xfId="5" applyNumberFormat="1" applyFont="1" applyBorder="1" applyAlignment="1">
      <alignment horizontal="center" vertical="center"/>
    </xf>
    <xf numFmtId="4" fontId="37" fillId="0" borderId="49" xfId="5" applyNumberFormat="1" applyFont="1" applyBorder="1" applyAlignment="1">
      <alignment horizontal="center" vertical="center"/>
    </xf>
    <xf numFmtId="4" fontId="37" fillId="0" borderId="65" xfId="5" applyNumberFormat="1" applyFont="1" applyBorder="1" applyAlignment="1">
      <alignment horizontal="center" vertical="center"/>
    </xf>
    <xf numFmtId="4" fontId="38" fillId="9" borderId="58" xfId="30" applyNumberFormat="1" applyFont="1" applyFill="1" applyBorder="1" applyAlignment="1">
      <alignment horizontal="center" vertical="center"/>
    </xf>
    <xf numFmtId="0" fontId="63" fillId="21" borderId="30" xfId="5" applyFont="1" applyFill="1" applyBorder="1" applyAlignment="1">
      <alignment horizontal="center" vertical="center" wrapText="1"/>
    </xf>
    <xf numFmtId="9" fontId="63" fillId="21" borderId="30" xfId="16" applyFont="1" applyFill="1" applyBorder="1" applyAlignment="1">
      <alignment horizontal="center" vertical="center" wrapText="1"/>
    </xf>
    <xf numFmtId="165" fontId="63" fillId="21" borderId="27" xfId="21" applyNumberFormat="1" applyFont="1" applyFill="1" applyBorder="1" applyAlignment="1">
      <alignment horizontal="center" vertical="center" wrapText="1"/>
    </xf>
    <xf numFmtId="165" fontId="63" fillId="21" borderId="51" xfId="21" applyNumberFormat="1" applyFont="1" applyFill="1" applyBorder="1" applyAlignment="1">
      <alignment horizontal="center" vertical="center" wrapText="1"/>
    </xf>
    <xf numFmtId="165" fontId="63" fillId="21" borderId="37" xfId="21" applyNumberFormat="1" applyFont="1" applyFill="1" applyBorder="1" applyAlignment="1">
      <alignment horizontal="center" vertical="center" wrapText="1"/>
    </xf>
    <xf numFmtId="0" fontId="63" fillId="21" borderId="39" xfId="5" applyFont="1" applyFill="1" applyBorder="1" applyAlignment="1">
      <alignment horizontal="center" vertical="center" wrapText="1"/>
    </xf>
    <xf numFmtId="0" fontId="63" fillId="21" borderId="57" xfId="5" applyFont="1" applyFill="1" applyBorder="1" applyAlignment="1">
      <alignment horizontal="center" vertical="center" wrapText="1"/>
    </xf>
    <xf numFmtId="0" fontId="63" fillId="21" borderId="38" xfId="5" applyFont="1" applyFill="1" applyBorder="1" applyAlignment="1">
      <alignment horizontal="center" vertical="center" wrapText="1"/>
    </xf>
    <xf numFmtId="165" fontId="63" fillId="21" borderId="30" xfId="21" applyNumberFormat="1" applyFont="1" applyFill="1" applyBorder="1" applyAlignment="1">
      <alignment horizontal="center" vertical="center" wrapText="1"/>
    </xf>
    <xf numFmtId="2" fontId="63" fillId="21" borderId="30" xfId="5" applyNumberFormat="1" applyFont="1" applyFill="1" applyBorder="1" applyAlignment="1">
      <alignment horizontal="center" vertical="center" wrapText="1"/>
    </xf>
    <xf numFmtId="0" fontId="63" fillId="21" borderId="37" xfId="5" applyFont="1" applyFill="1" applyBorder="1" applyAlignment="1">
      <alignment horizontal="center" vertical="center" wrapText="1"/>
    </xf>
    <xf numFmtId="2" fontId="63" fillId="21" borderId="39" xfId="5" applyNumberFormat="1" applyFont="1" applyFill="1" applyBorder="1" applyAlignment="1">
      <alignment horizontal="center" vertical="center" wrapText="1"/>
    </xf>
    <xf numFmtId="0" fontId="63" fillId="0" borderId="66" xfId="5" applyFont="1" applyBorder="1" applyAlignment="1">
      <alignment horizontal="center" vertical="center" wrapText="1"/>
    </xf>
    <xf numFmtId="0" fontId="63" fillId="0" borderId="67" xfId="5" applyFont="1" applyBorder="1" applyAlignment="1">
      <alignment horizontal="center" vertical="center" wrapText="1"/>
    </xf>
    <xf numFmtId="0" fontId="63" fillId="21" borderId="66" xfId="5" quotePrefix="1" applyFont="1" applyFill="1" applyBorder="1" applyAlignment="1">
      <alignment horizontal="center" vertical="center" wrapText="1"/>
    </xf>
    <xf numFmtId="0" fontId="63" fillId="21" borderId="66" xfId="5" applyFont="1" applyFill="1" applyBorder="1" applyAlignment="1">
      <alignment horizontal="center" vertical="center" wrapText="1"/>
    </xf>
    <xf numFmtId="0" fontId="63" fillId="21" borderId="68" xfId="5" quotePrefix="1" applyFont="1" applyFill="1" applyBorder="1" applyAlignment="1">
      <alignment horizontal="center" vertical="center" wrapText="1"/>
    </xf>
    <xf numFmtId="0" fontId="63" fillId="21" borderId="69" xfId="5" quotePrefix="1" applyFont="1" applyFill="1" applyBorder="1" applyAlignment="1">
      <alignment horizontal="center" vertical="center" wrapText="1"/>
    </xf>
    <xf numFmtId="0" fontId="63" fillId="21" borderId="67" xfId="5" applyFont="1" applyFill="1" applyBorder="1" applyAlignment="1">
      <alignment horizontal="center" vertical="center" wrapText="1"/>
    </xf>
    <xf numFmtId="0" fontId="63" fillId="21" borderId="68" xfId="5" applyFont="1" applyFill="1" applyBorder="1" applyAlignment="1">
      <alignment horizontal="center" vertical="center" wrapText="1"/>
    </xf>
    <xf numFmtId="165" fontId="63" fillId="21" borderId="67" xfId="21" applyNumberFormat="1" applyFont="1" applyFill="1" applyBorder="1" applyAlignment="1">
      <alignment horizontal="center" vertical="center" wrapText="1"/>
    </xf>
    <xf numFmtId="165" fontId="63" fillId="21" borderId="46" xfId="21" applyNumberFormat="1" applyFont="1" applyFill="1" applyBorder="1" applyAlignment="1">
      <alignment horizontal="center" vertical="center" wrapText="1"/>
    </xf>
    <xf numFmtId="165" fontId="63" fillId="21" borderId="66" xfId="21" applyNumberFormat="1" applyFont="1" applyFill="1" applyBorder="1" applyAlignment="1">
      <alignment horizontal="center" vertical="center" wrapText="1"/>
    </xf>
    <xf numFmtId="168" fontId="37" fillId="0" borderId="15" xfId="5" applyNumberFormat="1" applyFont="1" applyBorder="1" applyAlignment="1">
      <alignment horizontal="center" vertical="center"/>
    </xf>
    <xf numFmtId="169" fontId="25" fillId="0" borderId="0" xfId="0" applyNumberFormat="1" applyFont="1" applyAlignment="1">
      <alignment vertical="center"/>
    </xf>
    <xf numFmtId="0" fontId="26" fillId="21" borderId="24" xfId="0" applyFont="1" applyFill="1" applyBorder="1" applyAlignment="1">
      <alignment horizontal="center" vertical="center" wrapText="1"/>
    </xf>
    <xf numFmtId="0" fontId="26" fillId="21" borderId="30" xfId="0" applyFont="1" applyFill="1" applyBorder="1" applyAlignment="1">
      <alignment horizontal="center" vertical="center" wrapText="1"/>
    </xf>
    <xf numFmtId="0" fontId="26" fillId="21" borderId="31" xfId="0" applyFont="1" applyFill="1" applyBorder="1" applyAlignment="1">
      <alignment horizontal="center" vertical="center" wrapText="1"/>
    </xf>
    <xf numFmtId="0" fontId="18" fillId="8" borderId="24" xfId="0" applyFont="1" applyFill="1" applyBorder="1" applyAlignment="1">
      <alignment horizontal="center" vertical="center"/>
    </xf>
    <xf numFmtId="0" fontId="18" fillId="8" borderId="39" xfId="0" applyFont="1" applyFill="1" applyBorder="1" applyAlignment="1">
      <alignment vertical="center" wrapText="1"/>
    </xf>
    <xf numFmtId="0" fontId="18" fillId="8" borderId="39" xfId="0" applyFont="1" applyFill="1" applyBorder="1" applyAlignment="1">
      <alignment vertical="center"/>
    </xf>
    <xf numFmtId="0" fontId="18" fillId="8" borderId="30" xfId="0" applyFont="1" applyFill="1" applyBorder="1" applyAlignment="1">
      <alignment vertical="center"/>
    </xf>
    <xf numFmtId="0" fontId="18" fillId="8" borderId="30" xfId="0" applyFont="1" applyFill="1" applyBorder="1" applyAlignment="1">
      <alignment horizontal="center" vertical="center"/>
    </xf>
    <xf numFmtId="2" fontId="11" fillId="0" borderId="30" xfId="0" applyNumberFormat="1" applyFont="1" applyBorder="1" applyAlignment="1">
      <alignment horizontal="center" vertical="center"/>
    </xf>
    <xf numFmtId="2" fontId="56" fillId="0" borderId="30" xfId="0" applyNumberFormat="1" applyFont="1" applyBorder="1" applyAlignment="1">
      <alignment horizontal="center" vertical="center"/>
    </xf>
    <xf numFmtId="0" fontId="29" fillId="10" borderId="35" xfId="0" applyFont="1" applyFill="1" applyBorder="1" applyAlignment="1">
      <alignment horizontal="center" vertical="center"/>
    </xf>
    <xf numFmtId="0" fontId="29" fillId="10" borderId="0" xfId="0" applyFont="1" applyFill="1" applyAlignment="1">
      <alignment horizontal="center" vertical="center"/>
    </xf>
    <xf numFmtId="0" fontId="29" fillId="10" borderId="29" xfId="0" applyFont="1" applyFill="1" applyBorder="1" applyAlignment="1">
      <alignment horizontal="center" vertical="center"/>
    </xf>
    <xf numFmtId="0" fontId="29" fillId="21" borderId="31" xfId="0" applyFont="1" applyFill="1" applyBorder="1" applyAlignment="1">
      <alignment horizontal="center" vertical="center"/>
    </xf>
    <xf numFmtId="0" fontId="29" fillId="21" borderId="39" xfId="0" applyFont="1" applyFill="1" applyBorder="1" applyAlignment="1">
      <alignment horizontal="center" vertical="center" wrapText="1"/>
    </xf>
    <xf numFmtId="0" fontId="29" fillId="21" borderId="30" xfId="0" applyFont="1" applyFill="1" applyBorder="1" applyAlignment="1">
      <alignment horizontal="center" vertical="center"/>
    </xf>
    <xf numFmtId="0" fontId="30" fillId="0" borderId="22" xfId="0" applyFont="1" applyBorder="1" applyAlignment="1">
      <alignment vertical="center"/>
    </xf>
    <xf numFmtId="0" fontId="29" fillId="10" borderId="43" xfId="5" applyFont="1" applyFill="1" applyBorder="1" applyAlignment="1">
      <alignment vertical="center"/>
    </xf>
    <xf numFmtId="165" fontId="34" fillId="21" borderId="39" xfId="21" applyNumberFormat="1" applyFont="1" applyFill="1" applyBorder="1" applyAlignment="1">
      <alignment horizontal="center" vertical="center" wrapText="1"/>
    </xf>
    <xf numFmtId="165" fontId="34" fillId="21" borderId="31" xfId="21" applyNumberFormat="1" applyFont="1" applyFill="1" applyBorder="1" applyAlignment="1">
      <alignment horizontal="center" vertical="center" wrapText="1"/>
    </xf>
    <xf numFmtId="0" fontId="33" fillId="0" borderId="39" xfId="0" applyFont="1" applyBorder="1" applyAlignment="1">
      <alignment horizontal="center" vertical="center" wrapText="1"/>
    </xf>
    <xf numFmtId="0" fontId="33" fillId="0" borderId="110" xfId="0" applyFont="1" applyBorder="1" applyAlignment="1">
      <alignment horizontal="center" vertical="center" wrapText="1"/>
    </xf>
    <xf numFmtId="0" fontId="29" fillId="0" borderId="46" xfId="5" applyFont="1" applyBorder="1" applyAlignment="1">
      <alignment vertical="center"/>
    </xf>
    <xf numFmtId="165" fontId="34" fillId="21" borderId="110" xfId="21" applyNumberFormat="1" applyFont="1" applyFill="1" applyBorder="1" applyAlignment="1">
      <alignment horizontal="center" vertical="center" wrapText="1"/>
    </xf>
    <xf numFmtId="0" fontId="35" fillId="0" borderId="14" xfId="0" applyFont="1" applyBorder="1" applyAlignment="1">
      <alignment horizontal="center" vertical="center"/>
    </xf>
    <xf numFmtId="0" fontId="35" fillId="0" borderId="64" xfId="5" applyFont="1" applyBorder="1" applyAlignment="1">
      <alignment horizontal="left" vertical="center" wrapText="1"/>
    </xf>
    <xf numFmtId="2" fontId="35" fillId="0" borderId="64" xfId="5" applyNumberFormat="1" applyFont="1" applyBorder="1" applyAlignment="1">
      <alignment horizontal="center" vertical="center" wrapText="1"/>
    </xf>
    <xf numFmtId="4" fontId="35" fillId="0" borderId="15" xfId="5" applyNumberFormat="1" applyFont="1" applyBorder="1" applyAlignment="1">
      <alignment horizontal="center" vertical="center"/>
    </xf>
    <xf numFmtId="4" fontId="35" fillId="0" borderId="49" xfId="5" applyNumberFormat="1" applyFont="1" applyBorder="1" applyAlignment="1">
      <alignment horizontal="center" vertical="center"/>
    </xf>
    <xf numFmtId="4" fontId="35" fillId="0" borderId="50" xfId="5" applyNumberFormat="1" applyFont="1" applyBorder="1" applyAlignment="1">
      <alignment horizontal="center" vertical="center"/>
    </xf>
    <xf numFmtId="0" fontId="35" fillId="0" borderId="0" xfId="0" applyFont="1" applyAlignment="1">
      <alignment vertical="center"/>
    </xf>
    <xf numFmtId="0" fontId="35" fillId="0" borderId="39" xfId="0" applyFont="1" applyBorder="1" applyAlignment="1">
      <alignment horizontal="center" vertical="center"/>
    </xf>
    <xf numFmtId="169" fontId="35" fillId="0" borderId="30" xfId="0" applyNumberFormat="1" applyFont="1" applyBorder="1" applyAlignment="1">
      <alignment horizontal="center" vertical="center"/>
    </xf>
    <xf numFmtId="169" fontId="35" fillId="0" borderId="39" xfId="0" applyNumberFormat="1" applyFont="1" applyBorder="1" applyAlignment="1">
      <alignment horizontal="center" vertical="center"/>
    </xf>
    <xf numFmtId="169" fontId="35" fillId="0" borderId="110" xfId="0" applyNumberFormat="1" applyFont="1" applyBorder="1" applyAlignment="1">
      <alignment horizontal="center" vertical="center"/>
    </xf>
    <xf numFmtId="0" fontId="35" fillId="0" borderId="0" xfId="0" applyFont="1" applyAlignment="1">
      <alignment horizontal="center" vertical="center"/>
    </xf>
    <xf numFmtId="4" fontId="36" fillId="9" borderId="58" xfId="30" applyNumberFormat="1" applyFont="1" applyFill="1" applyBorder="1" applyAlignment="1">
      <alignment horizontal="center" vertical="center"/>
    </xf>
    <xf numFmtId="43" fontId="30" fillId="0" borderId="0" xfId="5" applyNumberFormat="1" applyFont="1" applyAlignment="1">
      <alignment horizontal="center" vertical="center"/>
    </xf>
    <xf numFmtId="43" fontId="52" fillId="0" borderId="0" xfId="0" applyNumberFormat="1" applyFont="1"/>
    <xf numFmtId="164" fontId="27" fillId="10" borderId="30" xfId="1" applyFont="1" applyFill="1" applyBorder="1" applyAlignment="1">
      <alignment horizontal="center" vertical="center" wrapText="1"/>
    </xf>
    <xf numFmtId="0" fontId="19" fillId="10" borderId="29" xfId="6" applyFont="1" applyFill="1" applyBorder="1" applyAlignment="1">
      <alignment horizontal="center" vertical="center"/>
    </xf>
    <xf numFmtId="0" fontId="11" fillId="10" borderId="35" xfId="6" applyFont="1" applyFill="1" applyBorder="1" applyAlignment="1">
      <alignment horizontal="center" vertical="center"/>
    </xf>
    <xf numFmtId="0" fontId="11" fillId="10" borderId="29" xfId="6" applyFont="1" applyFill="1" applyBorder="1" applyAlignment="1">
      <alignment horizontal="center" vertical="center"/>
    </xf>
    <xf numFmtId="165" fontId="19" fillId="18" borderId="73" xfId="12" applyNumberFormat="1" applyFont="1" applyFill="1" applyBorder="1" applyAlignment="1">
      <alignment horizontal="center" vertical="center" wrapText="1"/>
    </xf>
    <xf numFmtId="165" fontId="19" fillId="18" borderId="23" xfId="12" applyNumberFormat="1" applyFont="1" applyFill="1" applyBorder="1" applyAlignment="1">
      <alignment horizontal="center" vertical="center" wrapText="1"/>
    </xf>
    <xf numFmtId="17" fontId="58" fillId="19" borderId="74" xfId="0" applyNumberFormat="1" applyFont="1" applyFill="1" applyBorder="1" applyAlignment="1">
      <alignment horizontal="center" vertical="center" wrapText="1"/>
    </xf>
    <xf numFmtId="17" fontId="58" fillId="19" borderId="27" xfId="0" applyNumberFormat="1" applyFont="1" applyFill="1" applyBorder="1" applyAlignment="1">
      <alignment horizontal="center" vertical="center" wrapText="1"/>
    </xf>
    <xf numFmtId="0" fontId="19" fillId="10" borderId="0" xfId="6" applyFont="1" applyFill="1" applyAlignment="1">
      <alignment horizontal="center" vertical="center"/>
    </xf>
    <xf numFmtId="0" fontId="11" fillId="10" borderId="0" xfId="6" applyFont="1" applyFill="1" applyAlignment="1">
      <alignment horizontal="center" vertical="center"/>
    </xf>
    <xf numFmtId="1" fontId="19" fillId="0" borderId="35" xfId="0" applyNumberFormat="1" applyFont="1" applyBorder="1" applyAlignment="1">
      <alignment horizontal="center" vertical="center" wrapText="1"/>
    </xf>
    <xf numFmtId="0" fontId="58" fillId="19" borderId="27" xfId="0" applyFont="1" applyFill="1" applyBorder="1" applyAlignment="1">
      <alignment horizontal="center" vertical="center" wrapText="1"/>
    </xf>
    <xf numFmtId="0" fontId="61" fillId="0" borderId="24" xfId="0" applyFont="1" applyBorder="1" applyAlignment="1">
      <alignment horizontal="center" vertical="center"/>
    </xf>
    <xf numFmtId="0" fontId="21" fillId="0" borderId="30" xfId="0" applyFont="1" applyBorder="1" applyAlignment="1">
      <alignment horizontal="left" vertical="center" wrapText="1"/>
    </xf>
    <xf numFmtId="4" fontId="21" fillId="0" borderId="30" xfId="0" applyNumberFormat="1" applyFont="1" applyBorder="1" applyAlignment="1">
      <alignment horizontal="right" vertical="center"/>
    </xf>
    <xf numFmtId="4" fontId="21" fillId="0" borderId="3" xfId="0" applyNumberFormat="1" applyFont="1" applyBorder="1" applyAlignment="1">
      <alignment horizontal="right" vertical="center"/>
    </xf>
    <xf numFmtId="4" fontId="20" fillId="0" borderId="31" xfId="0" applyNumberFormat="1" applyFont="1" applyBorder="1" applyAlignment="1">
      <alignment vertical="center"/>
    </xf>
    <xf numFmtId="0" fontId="21" fillId="0" borderId="17" xfId="0" applyFont="1" applyBorder="1" applyAlignment="1">
      <alignment horizontal="center" vertical="center"/>
    </xf>
    <xf numFmtId="0" fontId="21" fillId="0" borderId="13" xfId="0" applyFont="1" applyBorder="1" applyAlignment="1">
      <alignment vertical="top" wrapText="1"/>
    </xf>
    <xf numFmtId="0" fontId="21" fillId="0" borderId="9" xfId="0" applyFont="1" applyBorder="1" applyAlignment="1">
      <alignment horizontal="center" vertical="center"/>
    </xf>
    <xf numFmtId="166" fontId="21" fillId="0" borderId="9" xfId="0" applyNumberFormat="1" applyFont="1" applyBorder="1" applyAlignment="1">
      <alignment horizontal="right" vertical="center"/>
    </xf>
    <xf numFmtId="4" fontId="21" fillId="0" borderId="9" xfId="0" applyNumberFormat="1" applyFont="1" applyBorder="1" applyAlignment="1">
      <alignment horizontal="right" vertical="center"/>
    </xf>
    <xf numFmtId="0" fontId="21" fillId="0" borderId="13" xfId="0" applyFont="1" applyBorder="1" applyAlignment="1">
      <alignment vertical="center" wrapText="1"/>
    </xf>
    <xf numFmtId="2" fontId="21" fillId="0" borderId="9" xfId="0" applyNumberFormat="1" applyFont="1" applyBorder="1" applyAlignment="1">
      <alignment horizontal="right" vertical="center"/>
    </xf>
    <xf numFmtId="165" fontId="57" fillId="0" borderId="30" xfId="12" applyNumberFormat="1" applyFont="1" applyBorder="1" applyAlignment="1">
      <alignment horizontal="center" vertical="center"/>
    </xf>
    <xf numFmtId="165" fontId="20" fillId="0" borderId="31" xfId="12" applyNumberFormat="1" applyFont="1" applyBorder="1" applyAlignment="1">
      <alignment horizontal="center" vertical="center"/>
    </xf>
    <xf numFmtId="10" fontId="21" fillId="0" borderId="30" xfId="17" applyNumberFormat="1" applyFont="1" applyFill="1" applyBorder="1" applyAlignment="1">
      <alignment vertical="center"/>
    </xf>
    <xf numFmtId="0" fontId="56"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2" fontId="19" fillId="0" borderId="0" xfId="0" applyNumberFormat="1" applyFont="1" applyAlignment="1">
      <alignment vertical="center"/>
    </xf>
    <xf numFmtId="166" fontId="21" fillId="0" borderId="30" xfId="0" applyNumberFormat="1" applyFont="1" applyBorder="1" applyAlignment="1">
      <alignment horizontal="right" vertical="center"/>
    </xf>
    <xf numFmtId="2" fontId="21" fillId="0" borderId="30" xfId="0" applyNumberFormat="1" applyFont="1" applyBorder="1" applyAlignment="1">
      <alignment horizontal="right" vertical="center"/>
    </xf>
    <xf numFmtId="168" fontId="21" fillId="0" borderId="9" xfId="0" applyNumberFormat="1" applyFont="1" applyBorder="1" applyAlignment="1">
      <alignment horizontal="right" vertical="center"/>
    </xf>
    <xf numFmtId="173" fontId="21" fillId="0" borderId="9" xfId="0" applyNumberFormat="1" applyFont="1" applyBorder="1" applyAlignment="1">
      <alignment horizontal="right" vertical="center"/>
    </xf>
    <xf numFmtId="0" fontId="56" fillId="7" borderId="0" xfId="0" applyFont="1" applyFill="1" applyAlignment="1">
      <alignment horizontal="center" vertical="center"/>
    </xf>
    <xf numFmtId="0" fontId="56" fillId="7" borderId="0" xfId="0" applyFont="1" applyFill="1" applyAlignment="1">
      <alignment horizontal="left" vertical="center"/>
    </xf>
    <xf numFmtId="10" fontId="14" fillId="0" borderId="0" xfId="18" applyNumberFormat="1" applyFont="1" applyBorder="1" applyAlignment="1">
      <alignment vertical="center"/>
    </xf>
    <xf numFmtId="10" fontId="14" fillId="0" borderId="29" xfId="18" applyNumberFormat="1" applyFont="1" applyBorder="1" applyAlignment="1">
      <alignment vertical="center"/>
    </xf>
    <xf numFmtId="10" fontId="12" fillId="0" borderId="29" xfId="0" applyNumberFormat="1" applyFont="1" applyBorder="1" applyAlignment="1">
      <alignment vertical="center"/>
    </xf>
    <xf numFmtId="0" fontId="14" fillId="0" borderId="0" xfId="0" applyFont="1" applyAlignment="1">
      <alignment horizontal="center" vertical="center"/>
    </xf>
    <xf numFmtId="10" fontId="11" fillId="0" borderId="0" xfId="9" applyNumberFormat="1" applyFont="1" applyAlignment="1">
      <alignment vertical="center"/>
    </xf>
    <xf numFmtId="171" fontId="11" fillId="0" borderId="0" xfId="9" applyNumberFormat="1" applyFont="1"/>
    <xf numFmtId="180" fontId="11" fillId="0" borderId="0" xfId="9" applyNumberFormat="1" applyFont="1"/>
    <xf numFmtId="180" fontId="11" fillId="0" borderId="0" xfId="9" applyNumberFormat="1" applyFont="1" applyAlignment="1">
      <alignment vertical="center"/>
    </xf>
    <xf numFmtId="0" fontId="14" fillId="0" borderId="35" xfId="0" applyFont="1" applyBorder="1" applyAlignment="1">
      <alignment horizontal="left" vertical="center"/>
    </xf>
    <xf numFmtId="0" fontId="14" fillId="0" borderId="0" xfId="0" quotePrefix="1" applyFont="1" applyAlignment="1">
      <alignment horizontal="center" vertical="center"/>
    </xf>
    <xf numFmtId="0" fontId="14" fillId="0" borderId="0" xfId="0" applyFont="1"/>
    <xf numFmtId="0" fontId="14" fillId="0" borderId="75" xfId="0" applyFont="1" applyBorder="1" applyAlignment="1">
      <alignment vertical="center"/>
    </xf>
    <xf numFmtId="0" fontId="14" fillId="0" borderId="75" xfId="0" applyFont="1" applyBorder="1" applyAlignment="1">
      <alignment horizontal="center" vertical="center"/>
    </xf>
    <xf numFmtId="0" fontId="14" fillId="0" borderId="75" xfId="0" quotePrefix="1" applyFont="1" applyBorder="1" applyAlignment="1">
      <alignment horizontal="center" vertical="center"/>
    </xf>
    <xf numFmtId="0" fontId="14" fillId="0" borderId="75" xfId="0" applyFont="1" applyBorder="1"/>
    <xf numFmtId="0" fontId="14" fillId="3" borderId="76" xfId="9" applyFont="1" applyFill="1" applyBorder="1"/>
    <xf numFmtId="0" fontId="41" fillId="6" borderId="77" xfId="0" applyFont="1" applyFill="1" applyBorder="1" applyAlignment="1">
      <alignment horizontal="center" vertical="center" wrapText="1"/>
    </xf>
    <xf numFmtId="2" fontId="17" fillId="0" borderId="29" xfId="0" applyNumberFormat="1" applyFont="1" applyBorder="1" applyAlignment="1">
      <alignment vertical="center"/>
    </xf>
    <xf numFmtId="0" fontId="16" fillId="0" borderId="35" xfId="0" applyFont="1" applyBorder="1" applyAlignment="1">
      <alignment horizontal="center" vertical="center"/>
    </xf>
    <xf numFmtId="2" fontId="16" fillId="0" borderId="29" xfId="0" applyNumberFormat="1" applyFont="1" applyBorder="1" applyAlignment="1">
      <alignment horizontal="center" vertical="center"/>
    </xf>
    <xf numFmtId="0" fontId="15" fillId="0" borderId="35" xfId="0" applyFont="1" applyBorder="1" applyAlignment="1">
      <alignment horizontal="center" vertical="center"/>
    </xf>
    <xf numFmtId="2" fontId="14" fillId="0" borderId="29" xfId="0" applyNumberFormat="1" applyFont="1" applyBorder="1" applyAlignment="1">
      <alignment horizontal="center" vertical="center"/>
    </xf>
    <xf numFmtId="2" fontId="15" fillId="0" borderId="29" xfId="0" applyNumberFormat="1" applyFont="1" applyBorder="1" applyAlignment="1">
      <alignment horizontal="center" vertical="center"/>
    </xf>
    <xf numFmtId="0" fontId="14" fillId="0" borderId="0" xfId="0" applyFont="1" applyAlignment="1">
      <alignment horizontal="left" vertical="center"/>
    </xf>
    <xf numFmtId="10" fontId="12" fillId="0" borderId="0" xfId="0" applyNumberFormat="1" applyFont="1" applyAlignment="1">
      <alignment vertical="center"/>
    </xf>
    <xf numFmtId="0" fontId="11" fillId="0" borderId="29" xfId="9" applyFont="1" applyBorder="1" applyAlignment="1">
      <alignment vertical="center"/>
    </xf>
    <xf numFmtId="0" fontId="11" fillId="0" borderId="29" xfId="9" applyFont="1" applyBorder="1"/>
    <xf numFmtId="0" fontId="11" fillId="0" borderId="42" xfId="9" applyFont="1" applyBorder="1"/>
    <xf numFmtId="0" fontId="11" fillId="0" borderId="63" xfId="9" applyFont="1" applyBorder="1"/>
    <xf numFmtId="0" fontId="39" fillId="0" borderId="31" xfId="0" applyFont="1" applyBorder="1" applyAlignment="1">
      <alignment horizontal="center" vertical="center" wrapText="1"/>
    </xf>
    <xf numFmtId="9" fontId="63" fillId="21" borderId="30" xfId="5" applyNumberFormat="1" applyFont="1" applyFill="1" applyBorder="1" applyAlignment="1">
      <alignment horizontal="center" vertical="center" wrapText="1"/>
    </xf>
    <xf numFmtId="0" fontId="25" fillId="0" borderId="15" xfId="0" applyFont="1" applyBorder="1" applyAlignment="1">
      <alignment horizontal="left" vertical="center" wrapText="1"/>
    </xf>
    <xf numFmtId="0" fontId="25" fillId="0" borderId="30" xfId="0" applyFont="1" applyBorder="1" applyAlignment="1">
      <alignment horizontal="left" vertical="center" wrapText="1"/>
    </xf>
    <xf numFmtId="0" fontId="26" fillId="21" borderId="58" xfId="0" applyFont="1" applyFill="1" applyBorder="1" applyAlignment="1">
      <alignment horizontal="center" vertical="center"/>
    </xf>
    <xf numFmtId="169" fontId="26" fillId="21" borderId="58" xfId="0" applyNumberFormat="1" applyFont="1" applyFill="1" applyBorder="1" applyAlignment="1">
      <alignment horizontal="center" vertical="center"/>
    </xf>
    <xf numFmtId="0" fontId="25" fillId="10" borderId="15" xfId="0" applyFont="1" applyFill="1" applyBorder="1" applyAlignment="1">
      <alignment horizontal="left" vertical="center" wrapText="1"/>
    </xf>
    <xf numFmtId="0" fontId="25" fillId="10" borderId="30" xfId="0" applyFont="1" applyFill="1" applyBorder="1" applyAlignment="1">
      <alignment horizontal="left" vertical="center" wrapText="1"/>
    </xf>
    <xf numFmtId="169" fontId="25" fillId="10" borderId="50" xfId="0" applyNumberFormat="1" applyFont="1" applyFill="1" applyBorder="1" applyAlignment="1">
      <alignment horizontal="center" vertical="center"/>
    </xf>
    <xf numFmtId="2" fontId="30" fillId="0" borderId="39" xfId="0" applyNumberFormat="1" applyFont="1" applyBorder="1" applyAlignment="1">
      <alignment horizontal="center" vertical="center" wrapText="1"/>
    </xf>
    <xf numFmtId="2" fontId="30" fillId="0" borderId="37" xfId="0" applyNumberFormat="1" applyFont="1" applyBorder="1" applyAlignment="1">
      <alignment horizontal="center" vertical="center" wrapText="1"/>
    </xf>
    <xf numFmtId="2" fontId="30" fillId="0" borderId="38" xfId="0" applyNumberFormat="1" applyFont="1" applyBorder="1" applyAlignment="1">
      <alignment horizontal="center" vertical="center" wrapText="1"/>
    </xf>
    <xf numFmtId="4" fontId="26" fillId="21" borderId="58" xfId="0" applyNumberFormat="1" applyFont="1" applyFill="1" applyBorder="1" applyAlignment="1">
      <alignment horizontal="center" vertical="center"/>
    </xf>
    <xf numFmtId="10" fontId="63" fillId="21" borderId="49" xfId="16" applyNumberFormat="1" applyFont="1" applyFill="1" applyBorder="1" applyAlignment="1">
      <alignment horizontal="center" vertical="center" wrapText="1"/>
    </xf>
    <xf numFmtId="10" fontId="63" fillId="21" borderId="15" xfId="5" applyNumberFormat="1" applyFont="1" applyFill="1" applyBorder="1" applyAlignment="1">
      <alignment horizontal="center" vertical="center" wrapText="1"/>
    </xf>
    <xf numFmtId="1" fontId="19" fillId="0" borderId="35" xfId="2" applyNumberFormat="1" applyFont="1" applyBorder="1" applyAlignment="1">
      <alignment horizontal="center" vertical="center" wrapText="1"/>
    </xf>
    <xf numFmtId="0" fontId="56" fillId="7" borderId="0" xfId="2" applyFont="1" applyFill="1" applyAlignment="1">
      <alignment vertical="center"/>
    </xf>
    <xf numFmtId="17" fontId="58" fillId="19" borderId="74" xfId="2" applyNumberFormat="1" applyFont="1" applyFill="1" applyBorder="1" applyAlignment="1">
      <alignment horizontal="center" vertical="center" wrapText="1"/>
    </xf>
    <xf numFmtId="0" fontId="58" fillId="19" borderId="27" xfId="2" applyFont="1" applyFill="1" applyBorder="1" applyAlignment="1">
      <alignment horizontal="center" vertical="center" wrapText="1"/>
    </xf>
    <xf numFmtId="0" fontId="54" fillId="0" borderId="0" xfId="2" applyFont="1" applyAlignment="1">
      <alignment horizontal="center" vertical="center"/>
    </xf>
    <xf numFmtId="0" fontId="54" fillId="0" borderId="0" xfId="2" applyFont="1" applyAlignment="1">
      <alignment vertical="center"/>
    </xf>
    <xf numFmtId="0" fontId="61" fillId="0" borderId="24" xfId="2" applyFont="1" applyBorder="1" applyAlignment="1">
      <alignment horizontal="center" vertical="center"/>
    </xf>
    <xf numFmtId="0" fontId="21" fillId="0" borderId="30" xfId="2" applyFont="1" applyBorder="1" applyAlignment="1">
      <alignment horizontal="center" vertical="center"/>
    </xf>
    <xf numFmtId="0" fontId="21" fillId="0" borderId="30" xfId="2" applyFont="1" applyBorder="1" applyAlignment="1">
      <alignment horizontal="left" vertical="center" wrapText="1"/>
    </xf>
    <xf numFmtId="168" fontId="21" fillId="0" borderId="9" xfId="2" applyNumberFormat="1" applyFont="1" applyBorder="1" applyAlignment="1">
      <alignment horizontal="right" vertical="center"/>
    </xf>
    <xf numFmtId="4" fontId="21" fillId="0" borderId="30" xfId="2" applyNumberFormat="1" applyFont="1" applyBorder="1" applyAlignment="1">
      <alignment horizontal="right" vertical="center"/>
    </xf>
    <xf numFmtId="4" fontId="21" fillId="0" borderId="3" xfId="2" applyNumberFormat="1" applyFont="1" applyBorder="1" applyAlignment="1">
      <alignment horizontal="right" vertical="center"/>
    </xf>
    <xf numFmtId="168" fontId="21" fillId="0" borderId="0" xfId="2" applyNumberFormat="1" applyFont="1" applyAlignment="1">
      <alignment horizontal="right" vertical="center"/>
    </xf>
    <xf numFmtId="4" fontId="20" fillId="0" borderId="31" xfId="2" applyNumberFormat="1" applyFont="1" applyBorder="1" applyAlignment="1">
      <alignment vertical="center"/>
    </xf>
    <xf numFmtId="0" fontId="21" fillId="0" borderId="17" xfId="2" applyFont="1" applyBorder="1" applyAlignment="1">
      <alignment horizontal="center" vertical="center"/>
    </xf>
    <xf numFmtId="0" fontId="21" fillId="0" borderId="13" xfId="2" applyFont="1" applyBorder="1" applyAlignment="1">
      <alignment vertical="top" wrapText="1"/>
    </xf>
    <xf numFmtId="0" fontId="21" fillId="0" borderId="9" xfId="2" applyFont="1" applyBorder="1" applyAlignment="1">
      <alignment horizontal="center" vertical="center"/>
    </xf>
    <xf numFmtId="4" fontId="21" fillId="0" borderId="9" xfId="2" applyNumberFormat="1" applyFont="1" applyBorder="1" applyAlignment="1">
      <alignment horizontal="right" vertical="center"/>
    </xf>
    <xf numFmtId="0" fontId="21" fillId="0" borderId="13" xfId="2" applyFont="1" applyBorder="1" applyAlignment="1">
      <alignment vertical="center" wrapText="1"/>
    </xf>
    <xf numFmtId="0" fontId="56" fillId="0" borderId="0" xfId="2" applyFont="1" applyAlignment="1">
      <alignment vertical="center"/>
    </xf>
    <xf numFmtId="0" fontId="19" fillId="0" borderId="0" xfId="2" applyFont="1" applyAlignment="1">
      <alignment vertical="center"/>
    </xf>
    <xf numFmtId="0" fontId="19" fillId="0" borderId="0" xfId="2" applyFont="1" applyAlignment="1">
      <alignment horizontal="center" vertical="center"/>
    </xf>
    <xf numFmtId="2" fontId="19" fillId="0" borderId="0" xfId="2" applyNumberFormat="1" applyFont="1" applyAlignment="1">
      <alignment vertical="center"/>
    </xf>
    <xf numFmtId="0" fontId="11" fillId="0" borderId="0" xfId="2" applyFont="1" applyAlignment="1">
      <alignment vertical="center"/>
    </xf>
    <xf numFmtId="172" fontId="21" fillId="0" borderId="9" xfId="2" applyNumberFormat="1" applyFont="1" applyBorder="1" applyAlignment="1">
      <alignment horizontal="right" vertical="center"/>
    </xf>
    <xf numFmtId="179" fontId="21" fillId="0" borderId="9" xfId="2" applyNumberFormat="1" applyFont="1" applyBorder="1" applyAlignment="1">
      <alignment horizontal="right" vertical="center"/>
    </xf>
    <xf numFmtId="170" fontId="21" fillId="0" borderId="9" xfId="2" applyNumberFormat="1" applyFont="1" applyBorder="1" applyAlignment="1">
      <alignment horizontal="right" vertical="center"/>
    </xf>
    <xf numFmtId="181" fontId="21" fillId="0" borderId="9" xfId="2" applyNumberFormat="1" applyFont="1" applyBorder="1" applyAlignment="1">
      <alignment horizontal="right" vertical="center"/>
    </xf>
    <xf numFmtId="182" fontId="21" fillId="0" borderId="9" xfId="2" applyNumberFormat="1" applyFont="1" applyBorder="1" applyAlignment="1">
      <alignment horizontal="right" vertical="center"/>
    </xf>
    <xf numFmtId="183" fontId="21" fillId="0" borderId="9" xfId="2" applyNumberFormat="1" applyFont="1" applyBorder="1" applyAlignment="1">
      <alignment horizontal="right" vertical="center"/>
    </xf>
    <xf numFmtId="0" fontId="3" fillId="0" borderId="0" xfId="5"/>
    <xf numFmtId="49" fontId="67" fillId="3" borderId="115" xfId="5" applyNumberFormat="1" applyFont="1" applyFill="1" applyBorder="1" applyAlignment="1">
      <alignment horizontal="center"/>
    </xf>
    <xf numFmtId="49" fontId="67" fillId="3" borderId="0" xfId="5" applyNumberFormat="1" applyFont="1" applyFill="1" applyAlignment="1">
      <alignment horizontal="center"/>
    </xf>
    <xf numFmtId="0" fontId="3" fillId="3" borderId="59" xfId="5" applyFill="1" applyBorder="1" applyAlignment="1">
      <alignment horizontal="center" vertical="center"/>
    </xf>
    <xf numFmtId="0" fontId="3" fillId="3" borderId="77" xfId="5" applyFill="1" applyBorder="1" applyAlignment="1">
      <alignment vertical="center"/>
    </xf>
    <xf numFmtId="49" fontId="67" fillId="0" borderId="115" xfId="5" applyNumberFormat="1" applyFont="1" applyBorder="1" applyAlignment="1">
      <alignment horizontal="center" vertical="center"/>
    </xf>
    <xf numFmtId="0" fontId="0" fillId="0" borderId="59" xfId="5" applyFont="1" applyBorder="1" applyAlignment="1">
      <alignment horizontal="center" vertical="center"/>
    </xf>
    <xf numFmtId="2" fontId="3" fillId="0" borderId="77" xfId="5" applyNumberFormat="1" applyBorder="1" applyAlignment="1">
      <alignment vertical="center"/>
    </xf>
    <xf numFmtId="0" fontId="3" fillId="0" borderId="59" xfId="5" quotePrefix="1" applyBorder="1" applyAlignment="1">
      <alignment horizontal="center"/>
    </xf>
    <xf numFmtId="184" fontId="3" fillId="0" borderId="77" xfId="5" applyNumberFormat="1" applyBorder="1"/>
    <xf numFmtId="0" fontId="3" fillId="0" borderId="59" xfId="5" applyBorder="1" applyAlignment="1">
      <alignment horizontal="center"/>
    </xf>
    <xf numFmtId="184" fontId="3" fillId="0" borderId="77" xfId="5" applyNumberFormat="1" applyBorder="1" applyAlignment="1">
      <alignment horizontal="center"/>
    </xf>
    <xf numFmtId="0" fontId="67" fillId="0" borderId="59" xfId="5" applyFont="1" applyBorder="1" applyAlignment="1">
      <alignment horizontal="center"/>
    </xf>
    <xf numFmtId="4" fontId="3" fillId="0" borderId="77" xfId="5" applyNumberFormat="1" applyBorder="1" applyAlignment="1">
      <alignment vertical="center"/>
    </xf>
    <xf numFmtId="184" fontId="67" fillId="0" borderId="77" xfId="5" applyNumberFormat="1" applyFont="1" applyBorder="1"/>
    <xf numFmtId="49" fontId="67" fillId="0" borderId="0" xfId="5" applyNumberFormat="1" applyFont="1" applyAlignment="1">
      <alignment horizontal="center" vertical="center"/>
    </xf>
    <xf numFmtId="0" fontId="3" fillId="0" borderId="59" xfId="5" applyBorder="1" applyAlignment="1">
      <alignment horizontal="center" vertical="center"/>
    </xf>
    <xf numFmtId="0" fontId="67" fillId="0" borderId="115" xfId="5" applyFont="1" applyBorder="1" applyAlignment="1">
      <alignment horizontal="center" vertical="center"/>
    </xf>
    <xf numFmtId="0" fontId="67" fillId="0" borderId="0" xfId="5" applyFont="1" applyAlignment="1">
      <alignment horizontal="center" vertical="center"/>
    </xf>
    <xf numFmtId="0" fontId="3" fillId="0" borderId="0" xfId="5" applyAlignment="1">
      <alignment horizontal="center" vertical="top"/>
    </xf>
    <xf numFmtId="0" fontId="3" fillId="0" borderId="115" xfId="5" applyBorder="1" applyAlignment="1">
      <alignment horizontal="center" vertical="top"/>
    </xf>
    <xf numFmtId="0" fontId="67" fillId="3" borderId="0" xfId="5" applyFont="1" applyFill="1" applyAlignment="1">
      <alignment horizontal="center"/>
    </xf>
    <xf numFmtId="0" fontId="67" fillId="0" borderId="0" xfId="5" applyFont="1" applyAlignment="1">
      <alignment horizontal="left" wrapText="1"/>
    </xf>
    <xf numFmtId="0" fontId="67" fillId="3" borderId="0" xfId="5" applyFont="1" applyFill="1"/>
    <xf numFmtId="185" fontId="67" fillId="0" borderId="77" xfId="5" applyNumberFormat="1" applyFont="1" applyBorder="1"/>
    <xf numFmtId="184" fontId="67" fillId="0" borderId="29" xfId="5" applyNumberFormat="1" applyFont="1" applyBorder="1"/>
    <xf numFmtId="184" fontId="3" fillId="0" borderId="29" xfId="5" applyNumberFormat="1" applyBorder="1"/>
    <xf numFmtId="2" fontId="3" fillId="0" borderId="0" xfId="5" applyNumberFormat="1"/>
    <xf numFmtId="0" fontId="67" fillId="3" borderId="59" xfId="5" applyFont="1" applyFill="1" applyBorder="1" applyAlignment="1">
      <alignment horizontal="center"/>
    </xf>
    <xf numFmtId="184" fontId="67" fillId="3" borderId="77" xfId="5" applyNumberFormat="1" applyFont="1" applyFill="1" applyBorder="1"/>
    <xf numFmtId="0" fontId="3" fillId="0" borderId="42" xfId="5" applyBorder="1" applyAlignment="1">
      <alignment horizontal="center" vertical="top"/>
    </xf>
    <xf numFmtId="0" fontId="67" fillId="0" borderId="116" xfId="5" applyFont="1" applyBorder="1" applyAlignment="1">
      <alignment horizontal="center"/>
    </xf>
    <xf numFmtId="0" fontId="67" fillId="3" borderId="0" xfId="5" applyFont="1" applyFill="1" applyAlignment="1">
      <alignment horizontal="center" vertical="center"/>
    </xf>
    <xf numFmtId="0" fontId="67" fillId="3" borderId="0" xfId="5" applyFont="1" applyFill="1" applyAlignment="1">
      <alignment horizontal="left" wrapText="1"/>
    </xf>
    <xf numFmtId="0" fontId="68" fillId="0" borderId="22" xfId="4" applyFont="1" applyBorder="1" applyAlignment="1">
      <alignment horizontal="center" vertical="center"/>
    </xf>
    <xf numFmtId="0" fontId="43" fillId="0" borderId="0" xfId="4"/>
    <xf numFmtId="0" fontId="68" fillId="0" borderId="35" xfId="4" applyFont="1" applyBorder="1" applyAlignment="1">
      <alignment horizontal="center" vertical="center"/>
    </xf>
    <xf numFmtId="4" fontId="72" fillId="0" borderId="35" xfId="4" applyNumberFormat="1" applyFont="1" applyBorder="1" applyAlignment="1">
      <alignment horizontal="right" vertical="center" shrinkToFit="1"/>
    </xf>
    <xf numFmtId="4" fontId="43" fillId="0" borderId="0" xfId="4" applyNumberFormat="1"/>
    <xf numFmtId="4" fontId="6" fillId="25" borderId="118" xfId="4" applyNumberFormat="1" applyFont="1" applyFill="1" applyBorder="1" applyAlignment="1">
      <alignment horizontal="right" vertical="center" shrinkToFit="1"/>
    </xf>
    <xf numFmtId="4" fontId="6" fillId="25" borderId="118" xfId="4" applyNumberFormat="1" applyFont="1" applyFill="1" applyBorder="1" applyAlignment="1">
      <alignment horizontal="left" vertical="center" shrinkToFit="1"/>
    </xf>
    <xf numFmtId="0" fontId="43" fillId="0" borderId="119" xfId="4" applyBorder="1"/>
    <xf numFmtId="4" fontId="6" fillId="0" borderId="35" xfId="4" applyNumberFormat="1" applyFont="1" applyBorder="1" applyAlignment="1">
      <alignment horizontal="right" vertical="center" shrinkToFit="1"/>
    </xf>
    <xf numFmtId="0" fontId="6" fillId="0" borderId="121" xfId="4" applyFont="1" applyBorder="1" applyAlignment="1">
      <alignment horizontal="justify" vertical="center" wrapText="1"/>
    </xf>
    <xf numFmtId="0" fontId="6" fillId="0" borderId="120" xfId="4" applyFont="1" applyBorder="1" applyAlignment="1">
      <alignment horizontal="center" vertical="center"/>
    </xf>
    <xf numFmtId="4" fontId="6" fillId="0" borderId="121" xfId="4" applyNumberFormat="1" applyFont="1" applyBorder="1" applyAlignment="1">
      <alignment horizontal="center" vertical="center" shrinkToFit="1"/>
    </xf>
    <xf numFmtId="4" fontId="6" fillId="0" borderId="121" xfId="4" applyNumberFormat="1" applyFont="1" applyBorder="1" applyAlignment="1">
      <alignment horizontal="right" vertical="center" shrinkToFit="1"/>
    </xf>
    <xf numFmtId="4" fontId="73" fillId="0" borderId="121" xfId="4" applyNumberFormat="1" applyFont="1" applyBorder="1" applyAlignment="1">
      <alignment horizontal="center" vertical="center" shrinkToFit="1"/>
    </xf>
    <xf numFmtId="4" fontId="6" fillId="25" borderId="121" xfId="4" applyNumberFormat="1" applyFont="1" applyFill="1" applyBorder="1" applyAlignment="1">
      <alignment horizontal="right" vertical="center" shrinkToFit="1"/>
    </xf>
    <xf numFmtId="4" fontId="6" fillId="25" borderId="121" xfId="4" applyNumberFormat="1" applyFont="1" applyFill="1" applyBorder="1" applyAlignment="1">
      <alignment horizontal="justify" vertical="center" shrinkToFit="1"/>
    </xf>
    <xf numFmtId="0" fontId="43" fillId="0" borderId="122" xfId="4" applyBorder="1"/>
    <xf numFmtId="4" fontId="74" fillId="0" borderId="123" xfId="4" applyNumberFormat="1" applyFont="1" applyBorder="1" applyAlignment="1">
      <alignment horizontal="right" vertical="center" shrinkToFit="1"/>
    </xf>
    <xf numFmtId="4" fontId="6" fillId="0" borderId="41" xfId="4" applyNumberFormat="1" applyFont="1" applyBorder="1" applyAlignment="1">
      <alignment horizontal="right" vertical="center" shrinkToFit="1"/>
    </xf>
    <xf numFmtId="0" fontId="6" fillId="0" borderId="125" xfId="4" applyFont="1" applyBorder="1" applyAlignment="1">
      <alignment horizontal="justify" vertical="center" wrapText="1"/>
    </xf>
    <xf numFmtId="0" fontId="6" fillId="0" borderId="124" xfId="4" applyFont="1" applyBorder="1" applyAlignment="1">
      <alignment horizontal="center" vertical="center"/>
    </xf>
    <xf numFmtId="4" fontId="6" fillId="0" borderId="125" xfId="4" applyNumberFormat="1" applyFont="1" applyBorder="1" applyAlignment="1">
      <alignment horizontal="right" vertical="center" shrinkToFit="1"/>
    </xf>
    <xf numFmtId="4" fontId="6" fillId="0" borderId="125" xfId="4" applyNumberFormat="1" applyFont="1" applyBorder="1" applyAlignment="1">
      <alignment horizontal="center" vertical="center" shrinkToFit="1"/>
    </xf>
    <xf numFmtId="0" fontId="43" fillId="0" borderId="126" xfId="4" applyBorder="1"/>
    <xf numFmtId="0" fontId="71" fillId="0" borderId="0" xfId="4" applyFont="1"/>
    <xf numFmtId="4" fontId="71" fillId="0" borderId="0" xfId="4" applyNumberFormat="1" applyFont="1"/>
    <xf numFmtId="4" fontId="69" fillId="0" borderId="0" xfId="4" applyNumberFormat="1" applyFont="1"/>
    <xf numFmtId="0" fontId="76" fillId="4" borderId="24" xfId="5" applyFont="1" applyFill="1" applyBorder="1" applyAlignment="1">
      <alignment horizontal="center" vertical="center"/>
    </xf>
    <xf numFmtId="0" fontId="76" fillId="4" borderId="103" xfId="5" applyFont="1" applyFill="1" applyBorder="1" applyAlignment="1">
      <alignment horizontal="center" vertical="center"/>
    </xf>
    <xf numFmtId="0" fontId="76" fillId="4" borderId="30" xfId="5" applyFont="1" applyFill="1" applyBorder="1" applyAlignment="1">
      <alignment horizontal="center" vertical="center"/>
    </xf>
    <xf numFmtId="0" fontId="76" fillId="4" borderId="40" xfId="5" applyFont="1" applyFill="1" applyBorder="1" applyAlignment="1">
      <alignment horizontal="center" vertical="center"/>
    </xf>
    <xf numFmtId="49" fontId="76" fillId="5" borderId="25" xfId="5" applyNumberFormat="1" applyFont="1" applyFill="1" applyBorder="1" applyAlignment="1">
      <alignment horizontal="center"/>
    </xf>
    <xf numFmtId="0" fontId="76" fillId="5" borderId="103" xfId="5" applyFont="1" applyFill="1" applyBorder="1" applyAlignment="1">
      <alignment horizontal="left" wrapText="1"/>
    </xf>
    <xf numFmtId="0" fontId="77" fillId="5" borderId="45" xfId="5" applyFont="1" applyFill="1" applyBorder="1" applyAlignment="1">
      <alignment horizontal="center" vertical="center"/>
    </xf>
    <xf numFmtId="0" fontId="77" fillId="5" borderId="61" xfId="5" applyFont="1" applyFill="1" applyBorder="1" applyAlignment="1">
      <alignment vertical="center"/>
    </xf>
    <xf numFmtId="49" fontId="76" fillId="5" borderId="115" xfId="5" applyNumberFormat="1" applyFont="1" applyFill="1" applyBorder="1" applyAlignment="1">
      <alignment horizontal="center" vertical="center"/>
    </xf>
    <xf numFmtId="0" fontId="76" fillId="5" borderId="0" xfId="5" applyFont="1" applyFill="1" applyAlignment="1">
      <alignment horizontal="left" wrapText="1"/>
    </xf>
    <xf numFmtId="0" fontId="77" fillId="5" borderId="59" xfId="5" applyFont="1" applyFill="1" applyBorder="1" applyAlignment="1">
      <alignment horizontal="center" vertical="center"/>
    </xf>
    <xf numFmtId="0" fontId="77" fillId="5" borderId="77" xfId="5" applyFont="1" applyFill="1" applyBorder="1" applyAlignment="1">
      <alignment vertical="center"/>
    </xf>
    <xf numFmtId="49" fontId="76" fillId="0" borderId="115" xfId="5" applyNumberFormat="1" applyFont="1" applyBorder="1" applyAlignment="1">
      <alignment horizontal="center" vertical="center"/>
    </xf>
    <xf numFmtId="0" fontId="76" fillId="0" borderId="0" xfId="5" applyFont="1" applyAlignment="1">
      <alignment horizontal="left" wrapText="1"/>
    </xf>
    <xf numFmtId="0" fontId="78" fillId="0" borderId="59" xfId="5" applyFont="1" applyBorder="1" applyAlignment="1">
      <alignment horizontal="center" vertical="center"/>
    </xf>
    <xf numFmtId="2" fontId="76" fillId="0" borderId="77" xfId="5" applyNumberFormat="1" applyFont="1" applyBorder="1" applyAlignment="1">
      <alignment vertical="center"/>
    </xf>
    <xf numFmtId="0" fontId="76" fillId="26" borderId="30" xfId="5" applyFont="1" applyFill="1" applyBorder="1" applyAlignment="1">
      <alignment horizontal="center"/>
    </xf>
    <xf numFmtId="0" fontId="80" fillId="0" borderId="30" xfId="5" applyFont="1" applyBorder="1" applyAlignment="1">
      <alignment horizontal="center" vertical="center"/>
    </xf>
    <xf numFmtId="2" fontId="77" fillId="0" borderId="83" xfId="5" applyNumberFormat="1" applyFont="1" applyBorder="1" applyAlignment="1">
      <alignment horizontal="center" vertical="center"/>
    </xf>
    <xf numFmtId="1" fontId="6" fillId="0" borderId="83" xfId="5" applyNumberFormat="1" applyFont="1" applyBorder="1" applyAlignment="1">
      <alignment horizontal="right" vertical="center" wrapText="1"/>
    </xf>
    <xf numFmtId="2" fontId="79" fillId="0" borderId="34" xfId="5" applyNumberFormat="1" applyFont="1" applyBorder="1" applyAlignment="1">
      <alignment horizontal="center" vertical="center" wrapText="1"/>
    </xf>
    <xf numFmtId="0" fontId="77" fillId="0" borderId="0" xfId="5" applyFont="1"/>
    <xf numFmtId="0" fontId="77" fillId="0" borderId="115" xfId="5" applyFont="1" applyBorder="1" applyAlignment="1">
      <alignment horizontal="center" vertical="top"/>
    </xf>
    <xf numFmtId="0" fontId="76" fillId="3" borderId="0" xfId="5" applyFont="1" applyFill="1" applyAlignment="1">
      <alignment horizontal="center" vertical="center"/>
    </xf>
    <xf numFmtId="0" fontId="76" fillId="0" borderId="59" xfId="5" applyFont="1" applyBorder="1" applyAlignment="1">
      <alignment horizontal="center"/>
    </xf>
    <xf numFmtId="184" fontId="76" fillId="0" borderId="77" xfId="5" applyNumberFormat="1" applyFont="1" applyBorder="1"/>
    <xf numFmtId="0" fontId="76" fillId="3" borderId="0" xfId="5" applyFont="1" applyFill="1" applyAlignment="1">
      <alignment horizontal="center"/>
    </xf>
    <xf numFmtId="0" fontId="81" fillId="0" borderId="0" xfId="5" applyFont="1" applyAlignment="1">
      <alignment horizontal="center" vertical="center"/>
    </xf>
    <xf numFmtId="0" fontId="72" fillId="26" borderId="30" xfId="5" applyFont="1" applyFill="1" applyBorder="1" applyAlignment="1">
      <alignment horizontal="center" vertical="center"/>
    </xf>
    <xf numFmtId="2" fontId="77" fillId="0" borderId="45" xfId="5" applyNumberFormat="1" applyFont="1" applyBorder="1" applyAlignment="1">
      <alignment horizontal="center" vertical="center" wrapText="1"/>
    </xf>
    <xf numFmtId="2" fontId="77" fillId="0" borderId="121" xfId="5" applyNumberFormat="1" applyFont="1" applyBorder="1" applyAlignment="1">
      <alignment horizontal="center" vertical="center" wrapText="1"/>
    </xf>
    <xf numFmtId="2" fontId="77" fillId="0" borderId="130" xfId="5" applyNumberFormat="1" applyFont="1" applyBorder="1" applyAlignment="1">
      <alignment horizontal="center" vertical="center" wrapText="1"/>
    </xf>
    <xf numFmtId="2" fontId="76" fillId="2" borderId="30" xfId="5" applyNumberFormat="1" applyFont="1" applyFill="1" applyBorder="1" applyAlignment="1">
      <alignment horizontal="center" vertical="center"/>
    </xf>
    <xf numFmtId="0" fontId="77" fillId="0" borderId="59" xfId="5" applyFont="1" applyBorder="1" applyAlignment="1">
      <alignment horizontal="center" vertical="center"/>
    </xf>
    <xf numFmtId="0" fontId="77" fillId="0" borderId="77" xfId="5" applyFont="1" applyBorder="1" applyAlignment="1">
      <alignment vertical="center"/>
    </xf>
    <xf numFmtId="49" fontId="72" fillId="3" borderId="115" xfId="5" applyNumberFormat="1" applyFont="1" applyFill="1" applyBorder="1" applyAlignment="1">
      <alignment horizontal="center"/>
    </xf>
    <xf numFmtId="0" fontId="3" fillId="0" borderId="115" xfId="5" applyBorder="1"/>
    <xf numFmtId="0" fontId="82" fillId="0" borderId="59" xfId="5" applyFont="1" applyBorder="1" applyAlignment="1">
      <alignment horizontal="center" vertical="center"/>
    </xf>
    <xf numFmtId="0" fontId="3" fillId="0" borderId="29" xfId="5" applyBorder="1"/>
    <xf numFmtId="0" fontId="72" fillId="26" borderId="24" xfId="5" applyFont="1" applyFill="1" applyBorder="1" applyAlignment="1">
      <alignment horizontal="center" vertical="center"/>
    </xf>
    <xf numFmtId="0" fontId="72" fillId="26" borderId="31" xfId="5" applyFont="1" applyFill="1" applyBorder="1" applyAlignment="1">
      <alignment horizontal="center" vertical="center"/>
    </xf>
    <xf numFmtId="2" fontId="77" fillId="0" borderId="131" xfId="5" applyNumberFormat="1" applyFont="1" applyBorder="1" applyAlignment="1">
      <alignment horizontal="center" vertical="center" wrapText="1"/>
    </xf>
    <xf numFmtId="2" fontId="77" fillId="0" borderId="133" xfId="5" applyNumberFormat="1" applyFont="1" applyBorder="1" applyAlignment="1">
      <alignment horizontal="center" vertical="center" wrapText="1"/>
    </xf>
    <xf numFmtId="2" fontId="77" fillId="0" borderId="62" xfId="5" applyNumberFormat="1" applyFont="1" applyBorder="1" applyAlignment="1">
      <alignment horizontal="center" vertical="center" wrapText="1"/>
    </xf>
    <xf numFmtId="2" fontId="77" fillId="0" borderId="83" xfId="5" applyNumberFormat="1" applyFont="1" applyBorder="1" applyAlignment="1">
      <alignment horizontal="center" vertical="center" wrapText="1"/>
    </xf>
    <xf numFmtId="2" fontId="79" fillId="17" borderId="127" xfId="5" applyNumberFormat="1" applyFont="1" applyFill="1" applyBorder="1" applyAlignment="1">
      <alignment horizontal="center" vertical="center"/>
    </xf>
    <xf numFmtId="0" fontId="3" fillId="3" borderId="115" xfId="5" applyFill="1" applyBorder="1" applyAlignment="1">
      <alignment horizontal="center" vertical="top"/>
    </xf>
    <xf numFmtId="0" fontId="67" fillId="3" borderId="0" xfId="5" applyFont="1" applyFill="1" applyAlignment="1">
      <alignment horizontal="left" vertical="center" wrapText="1"/>
    </xf>
    <xf numFmtId="2" fontId="77" fillId="0" borderId="77" xfId="5" applyNumberFormat="1" applyFont="1" applyBorder="1" applyAlignment="1">
      <alignment vertical="center"/>
    </xf>
    <xf numFmtId="49" fontId="67" fillId="0" borderId="115" xfId="5" applyNumberFormat="1" applyFont="1" applyBorder="1" applyAlignment="1">
      <alignment horizontal="center"/>
    </xf>
    <xf numFmtId="0" fontId="3" fillId="0" borderId="77" xfId="5" applyBorder="1" applyAlignment="1">
      <alignment vertical="center"/>
    </xf>
    <xf numFmtId="0" fontId="83" fillId="0" borderId="59" xfId="5" applyFont="1" applyBorder="1" applyAlignment="1">
      <alignment horizontal="center" vertical="center"/>
    </xf>
    <xf numFmtId="0" fontId="72" fillId="8" borderId="14" xfId="5" applyFont="1" applyFill="1" applyBorder="1" applyAlignment="1">
      <alignment horizontal="center" vertical="center"/>
    </xf>
    <xf numFmtId="0" fontId="72" fillId="8" borderId="15" xfId="5" applyFont="1" applyFill="1" applyBorder="1" applyAlignment="1">
      <alignment horizontal="center" vertical="center"/>
    </xf>
    <xf numFmtId="2" fontId="77" fillId="0" borderId="136" xfId="5" applyNumberFormat="1" applyFont="1" applyBorder="1" applyAlignment="1">
      <alignment horizontal="center" vertical="center" wrapText="1"/>
    </xf>
    <xf numFmtId="2" fontId="77" fillId="0" borderId="0" xfId="5" applyNumberFormat="1" applyFont="1"/>
    <xf numFmtId="0" fontId="72" fillId="26" borderId="24" xfId="5" applyFont="1" applyFill="1" applyBorder="1" applyAlignment="1">
      <alignment horizontal="center"/>
    </xf>
    <xf numFmtId="0" fontId="72" fillId="26" borderId="30" xfId="5" applyFont="1" applyFill="1" applyBorder="1" applyAlignment="1">
      <alignment horizontal="center"/>
    </xf>
    <xf numFmtId="0" fontId="77" fillId="0" borderId="0" xfId="5" applyFont="1" applyAlignment="1">
      <alignment vertical="center"/>
    </xf>
    <xf numFmtId="0" fontId="76" fillId="0" borderId="0" xfId="5" applyFont="1" applyAlignment="1">
      <alignment horizontal="left" vertical="center" wrapText="1"/>
    </xf>
    <xf numFmtId="0" fontId="80" fillId="0" borderId="0" xfId="5" applyFont="1"/>
    <xf numFmtId="0" fontId="80" fillId="0" borderId="115" xfId="5" applyFont="1" applyBorder="1"/>
    <xf numFmtId="0" fontId="79" fillId="3" borderId="0" xfId="5" applyFont="1" applyFill="1" applyAlignment="1">
      <alignment horizontal="left" vertical="center" wrapText="1"/>
    </xf>
    <xf numFmtId="0" fontId="80" fillId="0" borderId="59" xfId="5" applyFont="1" applyBorder="1" applyAlignment="1">
      <alignment horizontal="center" vertical="center"/>
    </xf>
    <xf numFmtId="2" fontId="80" fillId="0" borderId="77" xfId="5" applyNumberFormat="1" applyFont="1" applyBorder="1" applyAlignment="1">
      <alignment vertical="center"/>
    </xf>
    <xf numFmtId="0" fontId="80" fillId="0" borderId="115" xfId="5" applyFont="1" applyBorder="1" applyAlignment="1">
      <alignment horizontal="center" vertical="top"/>
    </xf>
    <xf numFmtId="0" fontId="79" fillId="26" borderId="36" xfId="5" applyFont="1" applyFill="1" applyBorder="1" applyAlignment="1">
      <alignment horizontal="center" vertical="center"/>
    </xf>
    <xf numFmtId="0" fontId="79" fillId="26" borderId="39" xfId="5" applyFont="1" applyFill="1" applyBorder="1" applyAlignment="1">
      <alignment horizontal="center" vertical="center" wrapText="1"/>
    </xf>
    <xf numFmtId="0" fontId="79" fillId="26" borderId="31" xfId="5" applyFont="1" applyFill="1" applyBorder="1" applyAlignment="1">
      <alignment horizontal="center" vertical="center"/>
    </xf>
    <xf numFmtId="0" fontId="79" fillId="0" borderId="59" xfId="5" applyFont="1" applyBorder="1" applyAlignment="1">
      <alignment horizontal="center"/>
    </xf>
    <xf numFmtId="184" fontId="79" fillId="0" borderId="77" xfId="5" applyNumberFormat="1" applyFont="1" applyBorder="1"/>
    <xf numFmtId="0" fontId="84" fillId="0" borderId="0" xfId="5" applyFont="1"/>
    <xf numFmtId="0" fontId="84" fillId="0" borderId="115" xfId="5" applyFont="1" applyBorder="1" applyAlignment="1">
      <alignment horizontal="center" vertical="top"/>
    </xf>
    <xf numFmtId="0" fontId="75" fillId="3" borderId="0" xfId="5" applyFont="1" applyFill="1" applyAlignment="1">
      <alignment horizontal="center"/>
    </xf>
    <xf numFmtId="2" fontId="84" fillId="0" borderId="31" xfId="32" applyNumberFormat="1" applyFont="1" applyBorder="1" applyAlignment="1">
      <alignment horizontal="center" vertical="center"/>
    </xf>
    <xf numFmtId="0" fontId="75" fillId="0" borderId="59" xfId="5" applyFont="1" applyBorder="1" applyAlignment="1">
      <alignment horizontal="center"/>
    </xf>
    <xf numFmtId="184" fontId="75" fillId="0" borderId="77" xfId="5" applyNumberFormat="1" applyFont="1" applyBorder="1"/>
    <xf numFmtId="2" fontId="79" fillId="2" borderId="34" xfId="32" applyNumberFormat="1" applyFont="1" applyFill="1" applyBorder="1" applyAlignment="1">
      <alignment vertical="center"/>
    </xf>
    <xf numFmtId="0" fontId="76" fillId="26" borderId="30" xfId="5" applyFont="1" applyFill="1" applyBorder="1" applyAlignment="1">
      <alignment horizontal="center" vertical="center"/>
    </xf>
    <xf numFmtId="2" fontId="77" fillId="0" borderId="30" xfId="32" applyNumberFormat="1" applyFont="1" applyBorder="1" applyAlignment="1">
      <alignment horizontal="center" vertical="center"/>
    </xf>
    <xf numFmtId="2" fontId="79" fillId="2" borderId="30" xfId="32" applyNumberFormat="1" applyFont="1" applyFill="1" applyBorder="1" applyAlignment="1">
      <alignment horizontal="center" vertical="center"/>
    </xf>
    <xf numFmtId="0" fontId="80" fillId="0" borderId="45" xfId="5" applyFont="1" applyBorder="1" applyAlignment="1">
      <alignment horizontal="center" vertical="center"/>
    </xf>
    <xf numFmtId="0" fontId="76" fillId="26" borderId="36" xfId="5" applyFont="1" applyFill="1" applyBorder="1" applyAlignment="1">
      <alignment horizontal="center" vertical="center"/>
    </xf>
    <xf numFmtId="0" fontId="76" fillId="26" borderId="31" xfId="5" applyFont="1" applyFill="1" applyBorder="1" applyAlignment="1">
      <alignment horizontal="center" vertical="center"/>
    </xf>
    <xf numFmtId="2" fontId="77" fillId="0" borderId="31" xfId="32" applyNumberFormat="1" applyFont="1" applyBorder="1" applyAlignment="1">
      <alignment horizontal="center" vertical="center"/>
    </xf>
    <xf numFmtId="2" fontId="79" fillId="2" borderId="127" xfId="32" applyNumberFormat="1" applyFont="1" applyFill="1" applyBorder="1" applyAlignment="1">
      <alignment horizontal="center" vertical="center"/>
    </xf>
    <xf numFmtId="0" fontId="67" fillId="0" borderId="0" xfId="5" applyFont="1"/>
    <xf numFmtId="0" fontId="6" fillId="0" borderId="0" xfId="5" applyFont="1" applyAlignment="1">
      <alignment horizontal="center" vertical="center"/>
    </xf>
    <xf numFmtId="0" fontId="6" fillId="0" borderId="115" xfId="5" applyFont="1" applyBorder="1" applyAlignment="1">
      <alignment horizontal="center" vertical="center"/>
    </xf>
    <xf numFmtId="0" fontId="72" fillId="3" borderId="0" xfId="5" applyFont="1" applyFill="1" applyAlignment="1">
      <alignment horizontal="center" vertical="center"/>
    </xf>
    <xf numFmtId="0" fontId="72" fillId="0" borderId="59" xfId="5" applyFont="1" applyBorder="1" applyAlignment="1">
      <alignment horizontal="center" vertical="center"/>
    </xf>
    <xf numFmtId="184" fontId="72" fillId="0" borderId="77" xfId="5" applyNumberFormat="1" applyFont="1" applyBorder="1" applyAlignment="1">
      <alignment horizontal="center" vertical="center"/>
    </xf>
    <xf numFmtId="0" fontId="76" fillId="26" borderId="24" xfId="5" applyFont="1" applyFill="1" applyBorder="1" applyAlignment="1">
      <alignment horizontal="center" vertical="center"/>
    </xf>
    <xf numFmtId="2" fontId="77" fillId="0" borderId="61" xfId="32" applyNumberFormat="1" applyFont="1" applyBorder="1" applyAlignment="1">
      <alignment horizontal="center" vertical="center"/>
    </xf>
    <xf numFmtId="43" fontId="3" fillId="0" borderId="0" xfId="5" applyNumberFormat="1"/>
    <xf numFmtId="0" fontId="3" fillId="0" borderId="117" xfId="5" applyBorder="1" applyAlignment="1">
      <alignment horizontal="center" vertical="top"/>
    </xf>
    <xf numFmtId="0" fontId="3" fillId="0" borderId="63" xfId="5" applyBorder="1"/>
    <xf numFmtId="4" fontId="27" fillId="0" borderId="30" xfId="1" applyNumberFormat="1" applyFont="1" applyFill="1" applyBorder="1" applyAlignment="1">
      <alignment horizontal="right" vertical="center"/>
    </xf>
    <xf numFmtId="165" fontId="10" fillId="18" borderId="82" xfId="12" applyNumberFormat="1" applyFont="1" applyFill="1" applyBorder="1" applyAlignment="1">
      <alignment vertical="center" wrapText="1"/>
    </xf>
    <xf numFmtId="0" fontId="88" fillId="0" borderId="103" xfId="34" applyFont="1" applyBorder="1" applyAlignment="1">
      <alignment horizontal="center" vertical="center" wrapText="1"/>
    </xf>
    <xf numFmtId="0" fontId="89" fillId="0" borderId="103" xfId="34" applyFont="1" applyBorder="1"/>
    <xf numFmtId="0" fontId="89" fillId="0" borderId="104" xfId="34" applyFont="1" applyBorder="1"/>
    <xf numFmtId="187" fontId="86" fillId="0" borderId="0" xfId="34" applyNumberFormat="1" applyFont="1" applyAlignment="1">
      <alignment horizontal="left" vertical="center"/>
    </xf>
    <xf numFmtId="0" fontId="89" fillId="0" borderId="0" xfId="34" applyFont="1"/>
    <xf numFmtId="0" fontId="89" fillId="0" borderId="98" xfId="34" applyFont="1" applyBorder="1"/>
    <xf numFmtId="0" fontId="85" fillId="0" borderId="0" xfId="34" applyFont="1" applyAlignment="1">
      <alignment horizontal="right" vertical="center"/>
    </xf>
    <xf numFmtId="0" fontId="90" fillId="0" borderId="0" xfId="35" applyFont="1" applyAlignment="1">
      <alignment horizontal="center" vertical="center" wrapText="1"/>
    </xf>
    <xf numFmtId="10" fontId="86" fillId="0" borderId="0" xfId="35" applyNumberFormat="1" applyFont="1" applyAlignment="1">
      <alignment horizontal="center" vertical="center" wrapText="1"/>
    </xf>
    <xf numFmtId="0" fontId="90" fillId="0" borderId="98" xfId="35" applyFont="1" applyBorder="1" applyAlignment="1">
      <alignment horizontal="center" vertical="center" wrapText="1"/>
    </xf>
    <xf numFmtId="186" fontId="85" fillId="0" borderId="59" xfId="36" applyNumberFormat="1" applyFont="1" applyBorder="1" applyAlignment="1">
      <alignment horizontal="right" vertical="center" wrapText="1"/>
    </xf>
    <xf numFmtId="10" fontId="85" fillId="0" borderId="0" xfId="16" applyNumberFormat="1" applyFont="1" applyAlignment="1">
      <alignment vertical="center"/>
    </xf>
    <xf numFmtId="186" fontId="85" fillId="0" borderId="59" xfId="36" applyNumberFormat="1" applyFont="1" applyBorder="1" applyAlignment="1">
      <alignment horizontal="right" vertical="center"/>
    </xf>
    <xf numFmtId="186" fontId="86" fillId="0" borderId="59" xfId="36" applyNumberFormat="1" applyFont="1" applyBorder="1" applyAlignment="1">
      <alignment horizontal="right" vertical="center" wrapText="1"/>
    </xf>
    <xf numFmtId="186" fontId="85" fillId="0" borderId="15" xfId="36" applyNumberFormat="1" applyFont="1" applyBorder="1" applyAlignment="1">
      <alignment horizontal="right" vertical="center" wrapText="1"/>
    </xf>
    <xf numFmtId="186" fontId="85" fillId="0" borderId="15" xfId="36" applyNumberFormat="1" applyFont="1" applyBorder="1" applyAlignment="1">
      <alignment horizontal="right" vertical="center"/>
    </xf>
    <xf numFmtId="186" fontId="86" fillId="0" borderId="30" xfId="36" applyNumberFormat="1" applyFont="1" applyBorder="1" applyAlignment="1">
      <alignment horizontal="right" vertical="center"/>
    </xf>
    <xf numFmtId="186" fontId="86" fillId="0" borderId="0" xfId="36" applyNumberFormat="1" applyFont="1" applyAlignment="1">
      <alignment horizontal="right" vertical="center"/>
    </xf>
    <xf numFmtId="165" fontId="85" fillId="0" borderId="0" xfId="26" applyFont="1" applyAlignment="1">
      <alignment horizontal="right" vertical="center"/>
    </xf>
    <xf numFmtId="10" fontId="85" fillId="0" borderId="0" xfId="16" applyNumberFormat="1" applyFont="1" applyAlignment="1">
      <alignment horizontal="right" vertical="center"/>
    </xf>
    <xf numFmtId="165" fontId="85" fillId="0" borderId="0" xfId="26" applyFont="1" applyBorder="1" applyAlignment="1">
      <alignment horizontal="center"/>
    </xf>
    <xf numFmtId="0" fontId="90" fillId="4" borderId="145" xfId="38" applyFont="1" applyFill="1" applyBorder="1" applyAlignment="1">
      <alignment horizontal="center" vertical="center" wrapText="1"/>
    </xf>
    <xf numFmtId="0" fontId="90" fillId="4" borderId="148" xfId="38" applyFont="1" applyFill="1" applyBorder="1" applyAlignment="1">
      <alignment horizontal="center" vertical="center"/>
    </xf>
    <xf numFmtId="165" fontId="90" fillId="4" borderId="148" xfId="26" applyFont="1" applyFill="1" applyBorder="1" applyAlignment="1">
      <alignment horizontal="center" vertical="center"/>
    </xf>
    <xf numFmtId="165" fontId="90" fillId="2" borderId="151" xfId="26" applyFont="1" applyFill="1" applyBorder="1" applyAlignment="1">
      <alignment horizontal="center" vertical="center" wrapText="1"/>
    </xf>
    <xf numFmtId="0" fontId="97" fillId="0" borderId="144" xfId="39" applyFont="1" applyBorder="1" applyAlignment="1">
      <alignment vertical="center"/>
    </xf>
    <xf numFmtId="0" fontId="97" fillId="0" borderId="145" xfId="39" applyFont="1" applyBorder="1" applyAlignment="1">
      <alignment vertical="center"/>
    </xf>
    <xf numFmtId="192" fontId="97" fillId="0" borderId="145" xfId="39" applyNumberFormat="1" applyFont="1" applyBorder="1" applyAlignment="1">
      <alignment horizontal="center" vertical="center"/>
    </xf>
    <xf numFmtId="2" fontId="97" fillId="0" borderId="145" xfId="39" applyNumberFormat="1" applyFont="1" applyBorder="1" applyAlignment="1">
      <alignment horizontal="center" vertical="center"/>
    </xf>
    <xf numFmtId="1" fontId="97" fillId="0" borderId="145" xfId="39" applyNumberFormat="1" applyFont="1" applyBorder="1" applyAlignment="1">
      <alignment horizontal="center" vertical="center"/>
    </xf>
    <xf numFmtId="165" fontId="97" fillId="0" borderId="145" xfId="26" applyFont="1" applyBorder="1" applyAlignment="1">
      <alignment horizontal="center" vertical="center"/>
    </xf>
    <xf numFmtId="0" fontId="97" fillId="0" borderId="145" xfId="39" applyFont="1" applyBorder="1" applyAlignment="1">
      <alignment horizontal="center" vertical="center"/>
    </xf>
    <xf numFmtId="2" fontId="97" fillId="0" borderId="154" xfId="39" applyNumberFormat="1" applyFont="1" applyBorder="1" applyAlignment="1">
      <alignment horizontal="center" vertical="center"/>
    </xf>
    <xf numFmtId="165" fontId="97" fillId="0" borderId="154" xfId="26" applyFont="1" applyBorder="1" applyAlignment="1">
      <alignment horizontal="center" vertical="center"/>
    </xf>
    <xf numFmtId="165" fontId="90" fillId="29" borderId="156" xfId="40" applyFont="1" applyFill="1" applyBorder="1" applyAlignment="1">
      <alignment horizontal="center" vertical="center"/>
    </xf>
    <xf numFmtId="0" fontId="90" fillId="29" borderId="156" xfId="40" applyNumberFormat="1" applyFont="1" applyFill="1" applyBorder="1" applyAlignment="1">
      <alignment horizontal="center" vertical="center"/>
    </xf>
    <xf numFmtId="165" fontId="90" fillId="29" borderId="103" xfId="40" applyFont="1" applyFill="1" applyBorder="1" applyAlignment="1">
      <alignment horizontal="center" vertical="center"/>
    </xf>
    <xf numFmtId="165" fontId="97" fillId="3" borderId="0" xfId="26" applyFont="1" applyFill="1"/>
    <xf numFmtId="165" fontId="90" fillId="4" borderId="157" xfId="40" applyFont="1" applyFill="1" applyBorder="1" applyAlignment="1">
      <alignment horizontal="center" vertical="center"/>
    </xf>
    <xf numFmtId="165" fontId="90" fillId="4" borderId="0" xfId="40" applyFont="1" applyFill="1" applyBorder="1" applyAlignment="1">
      <alignment horizontal="center" vertical="center"/>
    </xf>
    <xf numFmtId="165" fontId="99" fillId="0" borderId="0" xfId="40" applyFont="1" applyAlignment="1">
      <alignment horizontal="center" vertical="center"/>
    </xf>
    <xf numFmtId="165" fontId="90" fillId="4" borderId="127" xfId="40" applyFont="1" applyFill="1" applyBorder="1" applyAlignment="1">
      <alignment horizontal="center" vertical="center"/>
    </xf>
    <xf numFmtId="165" fontId="90" fillId="0" borderId="30" xfId="40" applyFont="1" applyBorder="1"/>
    <xf numFmtId="165" fontId="90" fillId="0" borderId="0" xfId="40" applyFont="1" applyBorder="1"/>
    <xf numFmtId="165" fontId="99" fillId="0" borderId="0" xfId="40" applyFont="1"/>
    <xf numFmtId="165" fontId="90" fillId="0" borderId="158" xfId="40" applyFont="1" applyBorder="1"/>
    <xf numFmtId="165" fontId="90" fillId="0" borderId="0" xfId="40" applyFont="1"/>
    <xf numFmtId="165" fontId="90" fillId="0" borderId="141" xfId="40" applyFont="1" applyBorder="1"/>
    <xf numFmtId="165" fontId="90" fillId="3" borderId="0" xfId="40" applyFont="1" applyFill="1"/>
    <xf numFmtId="165" fontId="90" fillId="0" borderId="0" xfId="40" applyFont="1" applyAlignment="1">
      <alignment vertical="center"/>
    </xf>
    <xf numFmtId="165" fontId="90" fillId="3" borderId="158" xfId="40" applyFont="1" applyFill="1" applyBorder="1"/>
    <xf numFmtId="165" fontId="90" fillId="3" borderId="0" xfId="40" applyFont="1" applyFill="1" applyBorder="1"/>
    <xf numFmtId="165" fontId="90" fillId="3" borderId="141" xfId="40" applyFont="1" applyFill="1" applyBorder="1"/>
    <xf numFmtId="165" fontId="101" fillId="0" borderId="0" xfId="26" applyFont="1" applyAlignment="1">
      <alignment horizontal="left" vertical="center"/>
    </xf>
    <xf numFmtId="165" fontId="90" fillId="3" borderId="160" xfId="40" applyFont="1" applyFill="1" applyBorder="1"/>
    <xf numFmtId="165" fontId="97" fillId="0" borderId="0" xfId="26" applyFont="1"/>
    <xf numFmtId="2" fontId="90" fillId="29" borderId="57" xfId="38" applyNumberFormat="1" applyFont="1" applyFill="1" applyBorder="1" applyAlignment="1">
      <alignment horizontal="center"/>
    </xf>
    <xf numFmtId="2" fontId="90" fillId="29" borderId="90" xfId="38" applyNumberFormat="1" applyFont="1" applyFill="1" applyBorder="1" applyAlignment="1">
      <alignment horizontal="center"/>
    </xf>
    <xf numFmtId="165" fontId="90" fillId="4" borderId="81" xfId="40" applyFont="1" applyFill="1" applyBorder="1" applyAlignment="1">
      <alignment horizontal="center" vertical="center"/>
    </xf>
    <xf numFmtId="4" fontId="90" fillId="0" borderId="33" xfId="38" applyNumberFormat="1" applyFont="1" applyBorder="1" applyAlignment="1">
      <alignment horizontal="center" vertical="center"/>
    </xf>
    <xf numFmtId="4" fontId="90" fillId="0" borderId="34" xfId="38" applyNumberFormat="1" applyFont="1" applyBorder="1" applyAlignment="1">
      <alignment horizontal="center" vertical="center"/>
    </xf>
    <xf numFmtId="165" fontId="90" fillId="3" borderId="90" xfId="40" applyFont="1" applyFill="1" applyBorder="1"/>
    <xf numFmtId="165" fontId="90" fillId="3" borderId="31" xfId="40" applyFont="1" applyFill="1" applyBorder="1"/>
    <xf numFmtId="165" fontId="97" fillId="0" borderId="35" xfId="26" applyFont="1" applyBorder="1"/>
    <xf numFmtId="165" fontId="90" fillId="3" borderId="34" xfId="40" applyFont="1" applyFill="1" applyBorder="1"/>
    <xf numFmtId="4" fontId="97" fillId="0" borderId="163" xfId="40" applyNumberFormat="1" applyFont="1" applyBorder="1" applyAlignment="1">
      <alignment horizontal="center" vertical="center"/>
    </xf>
    <xf numFmtId="4" fontId="97" fillId="3" borderId="128" xfId="40" applyNumberFormat="1" applyFont="1" applyFill="1" applyBorder="1" applyAlignment="1">
      <alignment horizontal="center" vertical="center"/>
    </xf>
    <xf numFmtId="4" fontId="97" fillId="0" borderId="128" xfId="40" applyNumberFormat="1" applyFont="1" applyBorder="1" applyAlignment="1">
      <alignment horizontal="center" vertical="center"/>
    </xf>
    <xf numFmtId="4" fontId="97" fillId="0" borderId="39" xfId="40" applyNumberFormat="1" applyFont="1" applyBorder="1" applyAlignment="1">
      <alignment horizontal="center" vertical="center"/>
    </xf>
    <xf numFmtId="49" fontId="90" fillId="2" borderId="32" xfId="40" applyNumberFormat="1" applyFont="1" applyFill="1" applyBorder="1" applyAlignment="1">
      <alignment horizontal="center" vertical="center"/>
    </xf>
    <xf numFmtId="49" fontId="90" fillId="2" borderId="33" xfId="40" applyNumberFormat="1" applyFont="1" applyFill="1" applyBorder="1" applyAlignment="1">
      <alignment horizontal="center" vertical="center"/>
    </xf>
    <xf numFmtId="4" fontId="90" fillId="2" borderId="55" xfId="40" applyNumberFormat="1" applyFont="1" applyFill="1" applyBorder="1" applyAlignment="1">
      <alignment horizontal="center" vertical="center"/>
    </xf>
    <xf numFmtId="0" fontId="97" fillId="0" borderId="0" xfId="38" applyFont="1"/>
    <xf numFmtId="0" fontId="101" fillId="0" borderId="134" xfId="38" applyFont="1" applyBorder="1" applyAlignment="1">
      <alignment horizontal="left" vertical="center"/>
    </xf>
    <xf numFmtId="0" fontId="101" fillId="0" borderId="135" xfId="38" applyFont="1" applyBorder="1" applyAlignment="1">
      <alignment horizontal="left" vertical="center"/>
    </xf>
    <xf numFmtId="0" fontId="101" fillId="0" borderId="125" xfId="38" applyFont="1" applyBorder="1" applyAlignment="1">
      <alignment horizontal="center" vertical="center"/>
    </xf>
    <xf numFmtId="0" fontId="101" fillId="0" borderId="121" xfId="38" applyFont="1" applyBorder="1" applyAlignment="1">
      <alignment horizontal="center" vertical="center"/>
    </xf>
    <xf numFmtId="0" fontId="101" fillId="0" borderId="136" xfId="38" applyFont="1" applyBorder="1" applyAlignment="1">
      <alignment horizontal="center" vertical="center"/>
    </xf>
    <xf numFmtId="0" fontId="97" fillId="0" borderId="0" xfId="38" applyFont="1" applyAlignment="1">
      <alignment horizontal="center"/>
    </xf>
    <xf numFmtId="2" fontId="97" fillId="0" borderId="0" xfId="38" applyNumberFormat="1" applyFont="1"/>
    <xf numFmtId="0" fontId="97" fillId="3" borderId="0" xfId="38" applyFont="1" applyFill="1" applyAlignment="1">
      <alignment horizontal="center" vertical="center"/>
    </xf>
    <xf numFmtId="0" fontId="97" fillId="0" borderId="0" xfId="38" applyFont="1" applyAlignment="1">
      <alignment horizontal="left" vertical="center"/>
    </xf>
    <xf numFmtId="165" fontId="104" fillId="0" borderId="0" xfId="26" applyFont="1"/>
    <xf numFmtId="0" fontId="76" fillId="0" borderId="0" xfId="41" applyFont="1" applyAlignment="1">
      <alignment vertical="center"/>
    </xf>
    <xf numFmtId="0" fontId="7" fillId="0" borderId="0" xfId="42"/>
    <xf numFmtId="0" fontId="75" fillId="3" borderId="0" xfId="41" applyFont="1" applyFill="1" applyAlignment="1">
      <alignment horizontal="center" vertical="center"/>
    </xf>
    <xf numFmtId="0" fontId="2" fillId="0" borderId="0" xfId="38"/>
    <xf numFmtId="0" fontId="109" fillId="17" borderId="145" xfId="38" applyFont="1" applyFill="1" applyBorder="1" applyAlignment="1">
      <alignment horizontal="center" vertical="center"/>
    </xf>
    <xf numFmtId="0" fontId="109" fillId="17" borderId="145" xfId="38" applyFont="1" applyFill="1" applyBorder="1" applyAlignment="1">
      <alignment horizontal="center" vertical="center" wrapText="1"/>
    </xf>
    <xf numFmtId="0" fontId="109" fillId="17" borderId="176" xfId="38" quotePrefix="1" applyFont="1" applyFill="1" applyBorder="1" applyAlignment="1">
      <alignment horizontal="center" vertical="center" wrapText="1"/>
    </xf>
    <xf numFmtId="0" fontId="2" fillId="0" borderId="0" xfId="38" applyAlignment="1">
      <alignment vertical="center"/>
    </xf>
    <xf numFmtId="0" fontId="109" fillId="17" borderId="152" xfId="38" applyFont="1" applyFill="1" applyBorder="1" applyAlignment="1">
      <alignment horizontal="center" vertical="center" wrapText="1"/>
    </xf>
    <xf numFmtId="0" fontId="109" fillId="29" borderId="145" xfId="38" applyFont="1" applyFill="1" applyBorder="1" applyAlignment="1">
      <alignment horizontal="center" vertical="center"/>
    </xf>
    <xf numFmtId="0" fontId="110" fillId="29" borderId="145" xfId="38" applyFont="1" applyFill="1" applyBorder="1" applyAlignment="1">
      <alignment horizontal="center" vertical="center"/>
    </xf>
    <xf numFmtId="0" fontId="110" fillId="14" borderId="145" xfId="38" applyFont="1" applyFill="1" applyBorder="1" applyAlignment="1">
      <alignment horizontal="center" vertical="center"/>
    </xf>
    <xf numFmtId="0" fontId="80" fillId="10" borderId="145" xfId="43" applyFont="1" applyFill="1" applyBorder="1" applyAlignment="1">
      <alignment vertical="center"/>
    </xf>
    <xf numFmtId="1" fontId="80" fillId="0" borderId="145" xfId="40" applyNumberFormat="1" applyFont="1" applyBorder="1" applyAlignment="1">
      <alignment horizontal="right" vertical="center"/>
    </xf>
    <xf numFmtId="193" fontId="80" fillId="0" borderId="145" xfId="40" applyNumberFormat="1" applyFont="1" applyBorder="1" applyAlignment="1">
      <alignment horizontal="left" vertical="center"/>
    </xf>
    <xf numFmtId="165" fontId="80" fillId="0" borderId="145" xfId="40" applyFont="1" applyBorder="1" applyAlignment="1">
      <alignment vertical="center"/>
    </xf>
    <xf numFmtId="165" fontId="80" fillId="10" borderId="145" xfId="40" applyFont="1" applyFill="1" applyBorder="1" applyAlignment="1">
      <alignment vertical="center"/>
    </xf>
    <xf numFmtId="165" fontId="80" fillId="0" borderId="145" xfId="40" applyFont="1" applyBorder="1" applyAlignment="1">
      <alignment horizontal="center" vertical="center"/>
    </xf>
    <xf numFmtId="165" fontId="77" fillId="0" borderId="145" xfId="40" applyFont="1" applyBorder="1" applyAlignment="1">
      <alignment vertical="center"/>
    </xf>
    <xf numFmtId="165" fontId="79" fillId="0" borderId="145" xfId="40" applyFont="1" applyBorder="1" applyAlignment="1">
      <alignment vertical="center"/>
    </xf>
    <xf numFmtId="165" fontId="79" fillId="0" borderId="145" xfId="40" applyFont="1" applyBorder="1" applyAlignment="1">
      <alignment horizontal="center" vertical="center"/>
    </xf>
    <xf numFmtId="0" fontId="77" fillId="10" borderId="145" xfId="43" applyFont="1" applyFill="1" applyBorder="1" applyAlignment="1">
      <alignment vertical="center" wrapText="1"/>
    </xf>
    <xf numFmtId="1" fontId="77" fillId="0" borderId="145" xfId="40" applyNumberFormat="1" applyFont="1" applyBorder="1" applyAlignment="1">
      <alignment horizontal="right" vertical="center"/>
    </xf>
    <xf numFmtId="193" fontId="77" fillId="0" borderId="145" xfId="40" applyNumberFormat="1" applyFont="1" applyBorder="1" applyAlignment="1">
      <alignment horizontal="left" vertical="center"/>
    </xf>
    <xf numFmtId="165" fontId="77" fillId="10" borderId="145" xfId="40" applyFont="1" applyFill="1" applyBorder="1" applyAlignment="1">
      <alignment vertical="center"/>
    </xf>
    <xf numFmtId="165" fontId="77" fillId="0" borderId="145" xfId="40" applyFont="1" applyBorder="1" applyAlignment="1">
      <alignment horizontal="center" vertical="center"/>
    </xf>
    <xf numFmtId="0" fontId="77" fillId="0" borderId="0" xfId="38" applyFont="1" applyAlignment="1">
      <alignment vertical="center"/>
    </xf>
    <xf numFmtId="0" fontId="77" fillId="10" borderId="145" xfId="43" applyFont="1" applyFill="1" applyBorder="1" applyAlignment="1">
      <alignment vertical="center"/>
    </xf>
    <xf numFmtId="43" fontId="76" fillId="8" borderId="145" xfId="44" applyFont="1" applyFill="1" applyBorder="1" applyAlignment="1">
      <alignment vertical="center"/>
    </xf>
    <xf numFmtId="0" fontId="77" fillId="0" borderId="0" xfId="38" applyFont="1"/>
    <xf numFmtId="0" fontId="111" fillId="17" borderId="15" xfId="38" applyFont="1" applyFill="1" applyBorder="1" applyAlignment="1">
      <alignment horizontal="center" vertical="center" wrapText="1"/>
    </xf>
    <xf numFmtId="0" fontId="111" fillId="17" borderId="64" xfId="38" applyFont="1" applyFill="1" applyBorder="1" applyAlignment="1">
      <alignment horizontal="center" vertical="center" wrapText="1"/>
    </xf>
    <xf numFmtId="0" fontId="111" fillId="17" borderId="30" xfId="38" applyFont="1" applyFill="1" applyBorder="1" applyAlignment="1">
      <alignment horizontal="center" vertical="center"/>
    </xf>
    <xf numFmtId="0" fontId="111" fillId="17" borderId="31" xfId="38" applyFont="1" applyFill="1" applyBorder="1" applyAlignment="1">
      <alignment horizontal="center" vertical="center"/>
    </xf>
    <xf numFmtId="0" fontId="112" fillId="29" borderId="25" xfId="38" applyFont="1" applyFill="1" applyBorder="1" applyAlignment="1">
      <alignment horizontal="center" vertical="center"/>
    </xf>
    <xf numFmtId="0" fontId="110" fillId="29" borderId="45" xfId="38" applyFont="1" applyFill="1" applyBorder="1" applyAlignment="1">
      <alignment horizontal="center" vertical="center"/>
    </xf>
    <xf numFmtId="0" fontId="110" fillId="29" borderId="61" xfId="38" applyFont="1" applyFill="1" applyBorder="1" applyAlignment="1">
      <alignment horizontal="center" vertical="center"/>
    </xf>
    <xf numFmtId="0" fontId="113" fillId="0" borderId="0" xfId="38" applyFont="1" applyAlignment="1">
      <alignment vertical="center"/>
    </xf>
    <xf numFmtId="0" fontId="80" fillId="10" borderId="179" xfId="43" applyFont="1" applyFill="1" applyBorder="1" applyAlignment="1">
      <alignment vertical="center"/>
    </xf>
    <xf numFmtId="1" fontId="80" fillId="0" borderId="166" xfId="40" applyNumberFormat="1" applyFont="1" applyBorder="1" applyAlignment="1">
      <alignment horizontal="right" vertical="center"/>
    </xf>
    <xf numFmtId="193" fontId="80" fillId="0" borderId="165" xfId="40" applyNumberFormat="1" applyFont="1" applyBorder="1" applyAlignment="1">
      <alignment horizontal="left" vertical="center"/>
    </xf>
    <xf numFmtId="165" fontId="80" fillId="0" borderId="168" xfId="40" applyFont="1" applyBorder="1" applyAlignment="1">
      <alignment vertical="center"/>
    </xf>
    <xf numFmtId="165" fontId="80" fillId="10" borderId="168" xfId="40" applyFont="1" applyFill="1" applyBorder="1" applyAlignment="1">
      <alignment vertical="center"/>
    </xf>
    <xf numFmtId="165" fontId="80" fillId="0" borderId="169" xfId="40" applyFont="1" applyBorder="1" applyAlignment="1">
      <alignment horizontal="center" vertical="center"/>
    </xf>
    <xf numFmtId="43" fontId="2" fillId="0" borderId="0" xfId="38" applyNumberFormat="1" applyAlignment="1">
      <alignment vertical="center"/>
    </xf>
    <xf numFmtId="1" fontId="80" fillId="0" borderId="120" xfId="40" applyNumberFormat="1" applyFont="1" applyBorder="1" applyAlignment="1">
      <alignment horizontal="right" vertical="center"/>
    </xf>
    <xf numFmtId="193" fontId="80" fillId="0" borderId="135" xfId="40" applyNumberFormat="1" applyFont="1" applyBorder="1" applyAlignment="1">
      <alignment horizontal="left" vertical="center"/>
    </xf>
    <xf numFmtId="165" fontId="80" fillId="0" borderId="121" xfId="40" applyFont="1" applyBorder="1" applyAlignment="1">
      <alignment vertical="center"/>
    </xf>
    <xf numFmtId="0" fontId="80" fillId="10" borderId="123" xfId="43" applyFont="1" applyFill="1" applyBorder="1" applyAlignment="1">
      <alignment vertical="center"/>
    </xf>
    <xf numFmtId="1" fontId="80" fillId="0" borderId="180" xfId="40" applyNumberFormat="1" applyFont="1" applyBorder="1" applyAlignment="1">
      <alignment horizontal="right" vertical="center"/>
    </xf>
    <xf numFmtId="193" fontId="80" fillId="0" borderId="171" xfId="40" applyNumberFormat="1" applyFont="1" applyBorder="1" applyAlignment="1">
      <alignment horizontal="left" vertical="center"/>
    </xf>
    <xf numFmtId="165" fontId="80" fillId="10" borderId="121" xfId="40" applyFont="1" applyFill="1" applyBorder="1" applyAlignment="1">
      <alignment vertical="center"/>
    </xf>
    <xf numFmtId="165" fontId="80" fillId="0" borderId="136" xfId="40" applyFont="1" applyBorder="1" applyAlignment="1">
      <alignment horizontal="center" vertical="center"/>
    </xf>
    <xf numFmtId="43" fontId="79" fillId="8" borderId="81" xfId="44" applyFont="1" applyFill="1" applyBorder="1" applyAlignment="1">
      <alignment vertical="center"/>
    </xf>
    <xf numFmtId="43" fontId="79" fillId="8" borderId="58" xfId="44" applyFont="1" applyFill="1" applyBorder="1" applyAlignment="1">
      <alignment vertical="center"/>
    </xf>
    <xf numFmtId="0" fontId="114" fillId="0" borderId="0" xfId="45"/>
    <xf numFmtId="0" fontId="104" fillId="0" borderId="0" xfId="45" applyFont="1"/>
    <xf numFmtId="3" fontId="104" fillId="0" borderId="0" xfId="45" applyNumberFormat="1" applyFont="1"/>
    <xf numFmtId="0" fontId="104" fillId="0" borderId="0" xfId="45" applyFont="1" applyAlignment="1">
      <alignment horizontal="center"/>
    </xf>
    <xf numFmtId="2" fontId="104" fillId="0" borderId="0" xfId="45" applyNumberFormat="1" applyFont="1"/>
    <xf numFmtId="4" fontId="104" fillId="0" borderId="0" xfId="45" applyNumberFormat="1" applyFont="1"/>
    <xf numFmtId="49" fontId="85" fillId="0" borderId="114" xfId="39" applyNumberFormat="1" applyFont="1" applyBorder="1" applyAlignment="1">
      <alignment vertical="center"/>
    </xf>
    <xf numFmtId="186" fontId="86" fillId="0" borderId="103" xfId="39" applyNumberFormat="1" applyFont="1" applyBorder="1" applyAlignment="1">
      <alignment vertical="center"/>
    </xf>
    <xf numFmtId="186" fontId="85" fillId="0" borderId="0" xfId="39" applyNumberFormat="1" applyFont="1" applyAlignment="1">
      <alignment vertical="center"/>
    </xf>
    <xf numFmtId="49" fontId="85" fillId="0" borderId="48" xfId="39" applyNumberFormat="1" applyFont="1" applyBorder="1" applyAlignment="1">
      <alignment vertical="center"/>
    </xf>
    <xf numFmtId="186" fontId="86" fillId="0" borderId="0" xfId="39" applyNumberFormat="1" applyFont="1" applyAlignment="1">
      <alignment vertical="center"/>
    </xf>
    <xf numFmtId="49" fontId="85" fillId="0" borderId="0" xfId="39" applyNumberFormat="1" applyFont="1" applyAlignment="1">
      <alignment horizontal="right" vertical="center"/>
    </xf>
    <xf numFmtId="186" fontId="85" fillId="0" borderId="0" xfId="39" applyNumberFormat="1" applyFont="1" applyAlignment="1">
      <alignment horizontal="left" vertical="center"/>
    </xf>
    <xf numFmtId="188" fontId="86" fillId="0" borderId="0" xfId="39" applyNumberFormat="1" applyFont="1" applyAlignment="1">
      <alignment horizontal="left" vertical="center"/>
    </xf>
    <xf numFmtId="186" fontId="85" fillId="0" borderId="48" xfId="39" applyNumberFormat="1" applyFont="1" applyBorder="1" applyAlignment="1">
      <alignment vertical="center"/>
    </xf>
    <xf numFmtId="186" fontId="86" fillId="0" borderId="0" xfId="39" applyNumberFormat="1" applyFont="1" applyAlignment="1">
      <alignment horizontal="left" vertical="center"/>
    </xf>
    <xf numFmtId="49" fontId="85" fillId="0" borderId="49" xfId="39" applyNumberFormat="1" applyFont="1" applyBorder="1" applyAlignment="1">
      <alignment vertical="center"/>
    </xf>
    <xf numFmtId="186" fontId="86" fillId="0" borderId="71" xfId="39" applyNumberFormat="1" applyFont="1" applyBorder="1"/>
    <xf numFmtId="186" fontId="85" fillId="0" borderId="71" xfId="39" applyNumberFormat="1" applyFont="1" applyBorder="1" applyAlignment="1">
      <alignment horizontal="right"/>
    </xf>
    <xf numFmtId="186" fontId="86" fillId="0" borderId="64" xfId="39" applyNumberFormat="1" applyFont="1" applyBorder="1"/>
    <xf numFmtId="186" fontId="85" fillId="0" borderId="45" xfId="39" applyNumberFormat="1" applyFont="1" applyBorder="1" applyAlignment="1">
      <alignment horizontal="center" vertical="center" wrapText="1"/>
    </xf>
    <xf numFmtId="186" fontId="85" fillId="0" borderId="45" xfId="39" applyNumberFormat="1" applyFont="1" applyBorder="1" applyAlignment="1">
      <alignment horizontal="center" vertical="center"/>
    </xf>
    <xf numFmtId="49" fontId="85" fillId="0" borderId="15" xfId="39" applyNumberFormat="1" applyFont="1" applyBorder="1" applyAlignment="1">
      <alignment horizontal="center" vertical="center"/>
    </xf>
    <xf numFmtId="186" fontId="85" fillId="0" borderId="15" xfId="39" applyNumberFormat="1" applyFont="1" applyBorder="1" applyAlignment="1">
      <alignment horizontal="center" vertical="center"/>
    </xf>
    <xf numFmtId="49" fontId="86" fillId="0" borderId="45" xfId="39" applyNumberFormat="1" applyFont="1" applyBorder="1" applyAlignment="1">
      <alignment horizontal="center" vertical="center"/>
    </xf>
    <xf numFmtId="186" fontId="91" fillId="0" borderId="45" xfId="39" applyNumberFormat="1" applyFont="1" applyBorder="1" applyAlignment="1">
      <alignment horizontal="center" vertical="center"/>
    </xf>
    <xf numFmtId="186" fontId="86" fillId="0" borderId="45" xfId="39" applyNumberFormat="1" applyFont="1" applyBorder="1" applyAlignment="1">
      <alignment vertical="center"/>
    </xf>
    <xf numFmtId="186" fontId="85" fillId="0" borderId="45" xfId="39" applyNumberFormat="1" applyFont="1" applyBorder="1" applyAlignment="1">
      <alignment horizontal="right" vertical="center"/>
    </xf>
    <xf numFmtId="186" fontId="86" fillId="0" borderId="45" xfId="39" applyNumberFormat="1" applyFont="1" applyBorder="1" applyAlignment="1">
      <alignment horizontal="right" vertical="center"/>
    </xf>
    <xf numFmtId="49" fontId="85" fillId="0" borderId="59" xfId="39" applyNumberFormat="1" applyFont="1" applyBorder="1" applyAlignment="1">
      <alignment horizontal="center" vertical="center"/>
    </xf>
    <xf numFmtId="186" fontId="85" fillId="0" borderId="59" xfId="39" applyNumberFormat="1" applyFont="1" applyBorder="1" applyAlignment="1">
      <alignment vertical="center"/>
    </xf>
    <xf numFmtId="186" fontId="85" fillId="0" borderId="59" xfId="39" applyNumberFormat="1" applyFont="1" applyBorder="1" applyAlignment="1">
      <alignment horizontal="center" vertical="center"/>
    </xf>
    <xf numFmtId="186" fontId="85" fillId="0" borderId="59" xfId="39" applyNumberFormat="1" applyFont="1" applyBorder="1" applyAlignment="1">
      <alignment horizontal="right" vertical="center"/>
    </xf>
    <xf numFmtId="189" fontId="85" fillId="0" borderId="0" xfId="39" applyNumberFormat="1" applyFont="1" applyAlignment="1">
      <alignment vertical="center"/>
    </xf>
    <xf numFmtId="186" fontId="85" fillId="0" borderId="59" xfId="39" applyNumberFormat="1" applyFont="1" applyBorder="1" applyAlignment="1">
      <alignment horizontal="justify" vertical="center"/>
    </xf>
    <xf numFmtId="49" fontId="86" fillId="0" borderId="59" xfId="39" applyNumberFormat="1" applyFont="1" applyBorder="1" applyAlignment="1">
      <alignment horizontal="center" vertical="center"/>
    </xf>
    <xf numFmtId="0" fontId="86" fillId="0" borderId="59" xfId="39" applyFont="1" applyBorder="1" applyAlignment="1">
      <alignment horizontal="center" vertical="center"/>
    </xf>
    <xf numFmtId="186" fontId="86" fillId="0" borderId="59" xfId="39" applyNumberFormat="1" applyFont="1" applyBorder="1" applyAlignment="1">
      <alignment horizontal="justify" vertical="center" wrapText="1"/>
    </xf>
    <xf numFmtId="186" fontId="85" fillId="0" borderId="59" xfId="39" applyNumberFormat="1" applyFont="1" applyBorder="1" applyAlignment="1">
      <alignment horizontal="justify" vertical="center" wrapText="1"/>
    </xf>
    <xf numFmtId="0" fontId="85" fillId="0" borderId="59" xfId="39" applyFont="1" applyBorder="1" applyAlignment="1">
      <alignment horizontal="center" vertical="center"/>
    </xf>
    <xf numFmtId="49" fontId="92" fillId="0" borderId="59" xfId="39" applyNumberFormat="1" applyFont="1" applyBorder="1" applyAlignment="1">
      <alignment horizontal="center" vertical="center"/>
    </xf>
    <xf numFmtId="190" fontId="85" fillId="0" borderId="0" xfId="39" applyNumberFormat="1" applyFont="1" applyAlignment="1">
      <alignment vertical="center"/>
    </xf>
    <xf numFmtId="186" fontId="86" fillId="0" borderId="59" xfId="39" applyNumberFormat="1" applyFont="1" applyBorder="1" applyAlignment="1">
      <alignment horizontal="justify" vertical="center"/>
    </xf>
    <xf numFmtId="186" fontId="86" fillId="0" borderId="59" xfId="39" applyNumberFormat="1" applyFont="1" applyBorder="1" applyAlignment="1">
      <alignment horizontal="right" vertical="center"/>
    </xf>
    <xf numFmtId="0" fontId="85" fillId="0" borderId="59" xfId="39" applyFont="1" applyBorder="1" applyAlignment="1">
      <alignment horizontal="center" vertical="center" wrapText="1"/>
    </xf>
    <xf numFmtId="0" fontId="85" fillId="0" borderId="15" xfId="39" applyFont="1" applyBorder="1" applyAlignment="1">
      <alignment horizontal="center" vertical="center"/>
    </xf>
    <xf numFmtId="186" fontId="85" fillId="0" borderId="15" xfId="39" applyNumberFormat="1" applyFont="1" applyBorder="1" applyAlignment="1">
      <alignment horizontal="justify" vertical="center"/>
    </xf>
    <xf numFmtId="186" fontId="85" fillId="0" borderId="15" xfId="39" applyNumberFormat="1" applyFont="1" applyBorder="1" applyAlignment="1">
      <alignment horizontal="right" vertical="center"/>
    </xf>
    <xf numFmtId="186" fontId="86" fillId="0" borderId="59" xfId="39" applyNumberFormat="1" applyFont="1" applyBorder="1" applyAlignment="1">
      <alignment vertical="center"/>
    </xf>
    <xf numFmtId="191" fontId="85" fillId="0" borderId="0" xfId="39" applyNumberFormat="1" applyFont="1" applyAlignment="1">
      <alignment vertical="center"/>
    </xf>
    <xf numFmtId="0" fontId="86" fillId="0" borderId="59" xfId="39" applyFont="1" applyBorder="1" applyAlignment="1">
      <alignment horizontal="center" vertical="center" wrapText="1"/>
    </xf>
    <xf numFmtId="186" fontId="85" fillId="0" borderId="59" xfId="39" applyNumberFormat="1" applyFont="1" applyBorder="1" applyAlignment="1">
      <alignment horizontal="center" vertical="center" wrapText="1"/>
    </xf>
    <xf numFmtId="0" fontId="85" fillId="0" borderId="15" xfId="39" applyFont="1" applyBorder="1" applyAlignment="1">
      <alignment horizontal="center" vertical="center" wrapText="1"/>
    </xf>
    <xf numFmtId="186" fontId="85" fillId="0" borderId="15" xfId="39" applyNumberFormat="1" applyFont="1" applyBorder="1" applyAlignment="1">
      <alignment horizontal="justify" vertical="center" wrapText="1"/>
    </xf>
    <xf numFmtId="49" fontId="85" fillId="0" borderId="0" xfId="39" applyNumberFormat="1" applyFont="1" applyAlignment="1">
      <alignment horizontal="center" vertical="center"/>
    </xf>
    <xf numFmtId="186" fontId="86" fillId="0" borderId="0" xfId="39" applyNumberFormat="1" applyFont="1" applyAlignment="1">
      <alignment vertical="center" wrapText="1"/>
    </xf>
    <xf numFmtId="186" fontId="86" fillId="0" borderId="0" xfId="39" applyNumberFormat="1" applyFont="1" applyAlignment="1">
      <alignment horizontal="right" vertical="center" wrapText="1"/>
    </xf>
    <xf numFmtId="186" fontId="85" fillId="0" borderId="0" xfId="39" applyNumberFormat="1" applyFont="1" applyAlignment="1">
      <alignment horizontal="right" vertical="center"/>
    </xf>
    <xf numFmtId="186" fontId="86" fillId="0" borderId="0" xfId="39" applyNumberFormat="1" applyFont="1" applyAlignment="1">
      <alignment horizontal="right" vertical="center"/>
    </xf>
    <xf numFmtId="0" fontId="85" fillId="0" borderId="0" xfId="38" applyFont="1"/>
    <xf numFmtId="0" fontId="90" fillId="28" borderId="0" xfId="38" applyFont="1" applyFill="1"/>
    <xf numFmtId="0" fontId="90" fillId="4" borderId="145" xfId="38" applyFont="1" applyFill="1" applyBorder="1" applyAlignment="1">
      <alignment horizontal="center" vertical="center"/>
    </xf>
    <xf numFmtId="0" fontId="90" fillId="4" borderId="145" xfId="38" applyFont="1" applyFill="1" applyBorder="1" applyAlignment="1">
      <alignment horizontal="center" vertical="justify"/>
    </xf>
    <xf numFmtId="0" fontId="90" fillId="4" borderId="148" xfId="38" applyFont="1" applyFill="1" applyBorder="1" applyAlignment="1">
      <alignment horizontal="center" vertical="center" wrapText="1"/>
    </xf>
    <xf numFmtId="2" fontId="90" fillId="4" borderId="148" xfId="38" applyNumberFormat="1" applyFont="1" applyFill="1" applyBorder="1" applyAlignment="1">
      <alignment horizontal="center" vertical="center" wrapText="1"/>
    </xf>
    <xf numFmtId="0" fontId="90" fillId="2" borderId="150" xfId="38" applyFont="1" applyFill="1" applyBorder="1" applyAlignment="1">
      <alignment horizontal="center" vertical="center"/>
    </xf>
    <xf numFmtId="0" fontId="90" fillId="2" borderId="151" xfId="38" applyFont="1" applyFill="1" applyBorder="1" applyAlignment="1">
      <alignment horizontal="center" vertical="center"/>
    </xf>
    <xf numFmtId="0" fontId="90" fillId="2" borderId="151" xfId="38" applyFont="1" applyFill="1" applyBorder="1" applyAlignment="1">
      <alignment horizontal="center" vertical="center" wrapText="1"/>
    </xf>
    <xf numFmtId="0" fontId="90" fillId="2" borderId="151" xfId="38" applyFont="1" applyFill="1" applyBorder="1" applyAlignment="1">
      <alignment horizontal="center" vertical="center" wrapText="1" shrinkToFit="1"/>
    </xf>
    <xf numFmtId="2" fontId="90" fillId="2" borderId="151" xfId="38" applyNumberFormat="1" applyFont="1" applyFill="1" applyBorder="1" applyAlignment="1">
      <alignment horizontal="center" vertical="center" wrapText="1"/>
    </xf>
    <xf numFmtId="2" fontId="97" fillId="0" borderId="145" xfId="38" applyNumberFormat="1" applyFont="1" applyBorder="1" applyAlignment="1">
      <alignment horizontal="center" vertical="center"/>
    </xf>
    <xf numFmtId="0" fontId="97" fillId="0" borderId="122" xfId="38" applyFont="1" applyBorder="1" applyAlignment="1">
      <alignment vertical="center"/>
    </xf>
    <xf numFmtId="0" fontId="97" fillId="0" borderId="132" xfId="38" applyFont="1" applyBorder="1" applyAlignment="1">
      <alignment vertical="center"/>
    </xf>
    <xf numFmtId="0" fontId="97" fillId="0" borderId="126" xfId="38" applyFont="1" applyBorder="1" applyAlignment="1">
      <alignment vertical="center"/>
    </xf>
    <xf numFmtId="0" fontId="97" fillId="0" borderId="0" xfId="38" applyFont="1" applyAlignment="1">
      <alignment vertical="center"/>
    </xf>
    <xf numFmtId="1" fontId="97" fillId="0" borderId="154" xfId="38" applyNumberFormat="1" applyFont="1" applyBorder="1" applyAlignment="1">
      <alignment horizontal="center" vertical="center"/>
    </xf>
    <xf numFmtId="2" fontId="97" fillId="0" borderId="154" xfId="38" applyNumberFormat="1" applyFont="1" applyBorder="1" applyAlignment="1">
      <alignment horizontal="center" vertical="center"/>
    </xf>
    <xf numFmtId="0" fontId="97" fillId="3" borderId="0" xfId="38" applyFont="1" applyFill="1" applyAlignment="1">
      <alignment horizontal="left"/>
    </xf>
    <xf numFmtId="0" fontId="97" fillId="3" borderId="0" xfId="38" applyFont="1" applyFill="1" applyAlignment="1">
      <alignment horizontal="center"/>
    </xf>
    <xf numFmtId="2" fontId="98" fillId="0" borderId="0" xfId="38" applyNumberFormat="1" applyFont="1" applyAlignment="1">
      <alignment horizontal="center"/>
    </xf>
    <xf numFmtId="2" fontId="97" fillId="3" borderId="0" xfId="38" applyNumberFormat="1" applyFont="1" applyFill="1" applyAlignment="1">
      <alignment horizontal="center"/>
    </xf>
    <xf numFmtId="2" fontId="97" fillId="3" borderId="0" xfId="38" applyNumberFormat="1" applyFont="1" applyFill="1"/>
    <xf numFmtId="0" fontId="97" fillId="3" borderId="0" xfId="38" applyFont="1" applyFill="1"/>
    <xf numFmtId="2" fontId="90" fillId="2" borderId="57" xfId="38" applyNumberFormat="1" applyFont="1" applyFill="1" applyBorder="1" applyAlignment="1">
      <alignment horizontal="center"/>
    </xf>
    <xf numFmtId="0" fontId="99" fillId="0" borderId="0" xfId="38" applyFont="1" applyAlignment="1">
      <alignment vertical="center"/>
    </xf>
    <xf numFmtId="0" fontId="99" fillId="3" borderId="0" xfId="38" applyFont="1" applyFill="1" applyAlignment="1">
      <alignment vertical="center"/>
    </xf>
    <xf numFmtId="2" fontId="90" fillId="2" borderId="89" xfId="38" applyNumberFormat="1" applyFont="1" applyFill="1" applyBorder="1" applyAlignment="1">
      <alignment horizontal="center"/>
    </xf>
    <xf numFmtId="2" fontId="90" fillId="2" borderId="70" xfId="38" applyNumberFormat="1" applyFont="1" applyFill="1" applyBorder="1" applyAlignment="1">
      <alignment horizontal="center"/>
    </xf>
    <xf numFmtId="2" fontId="90" fillId="2" borderId="93" xfId="38" applyNumberFormat="1" applyFont="1" applyFill="1" applyBorder="1" applyAlignment="1">
      <alignment horizontal="center"/>
    </xf>
    <xf numFmtId="0" fontId="100" fillId="0" borderId="0" xfId="38" applyFont="1" applyAlignment="1">
      <alignment vertical="center"/>
    </xf>
    <xf numFmtId="0" fontId="90" fillId="4" borderId="0" xfId="38" applyFont="1" applyFill="1" applyAlignment="1">
      <alignment horizontal="center" vertical="center"/>
    </xf>
    <xf numFmtId="2" fontId="90" fillId="2" borderId="30" xfId="38" applyNumberFormat="1" applyFont="1" applyFill="1" applyBorder="1" applyAlignment="1">
      <alignment horizontal="center"/>
    </xf>
    <xf numFmtId="0" fontId="98" fillId="0" borderId="0" xfId="38" applyFont="1"/>
    <xf numFmtId="2" fontId="90" fillId="2" borderId="39" xfId="38" applyNumberFormat="1" applyFont="1" applyFill="1" applyBorder="1" applyAlignment="1">
      <alignment horizontal="center"/>
    </xf>
    <xf numFmtId="2" fontId="101" fillId="0" borderId="0" xfId="38" applyNumberFormat="1" applyFont="1" applyAlignment="1">
      <alignment horizontal="left" vertical="center"/>
    </xf>
    <xf numFmtId="2" fontId="90" fillId="2" borderId="33" xfId="38" applyNumberFormat="1" applyFont="1" applyFill="1" applyBorder="1" applyAlignment="1">
      <alignment horizontal="center"/>
    </xf>
    <xf numFmtId="2" fontId="90" fillId="2" borderId="55" xfId="38" applyNumberFormat="1" applyFont="1" applyFill="1" applyBorder="1" applyAlignment="1">
      <alignment horizontal="center"/>
    </xf>
    <xf numFmtId="165" fontId="90" fillId="0" borderId="160" xfId="38" applyNumberFormat="1" applyFont="1" applyBorder="1"/>
    <xf numFmtId="165" fontId="90" fillId="0" borderId="0" xfId="38" applyNumberFormat="1" applyFont="1"/>
    <xf numFmtId="0" fontId="90" fillId="3" borderId="0" xfId="38" applyFont="1" applyFill="1" applyAlignment="1">
      <alignment horizontal="center" vertical="center"/>
    </xf>
    <xf numFmtId="2" fontId="90" fillId="3" borderId="0" xfId="38" applyNumberFormat="1" applyFont="1" applyFill="1" applyAlignment="1">
      <alignment horizontal="center"/>
    </xf>
    <xf numFmtId="165" fontId="98" fillId="0" borderId="0" xfId="38" applyNumberFormat="1" applyFont="1"/>
    <xf numFmtId="165" fontId="90" fillId="3" borderId="0" xfId="38" applyNumberFormat="1" applyFont="1" applyFill="1"/>
    <xf numFmtId="0" fontId="99" fillId="0" borderId="0" xfId="38" applyFont="1" applyAlignment="1">
      <alignment horizontal="center" vertical="center"/>
    </xf>
    <xf numFmtId="2" fontId="90" fillId="3" borderId="0" xfId="38" applyNumberFormat="1" applyFont="1" applyFill="1" applyAlignment="1">
      <alignment horizontal="center" vertical="center"/>
    </xf>
    <xf numFmtId="165" fontId="99" fillId="0" borderId="0" xfId="38" applyNumberFormat="1" applyFont="1"/>
    <xf numFmtId="2" fontId="90" fillId="0" borderId="0" xfId="38" applyNumberFormat="1" applyFont="1" applyAlignment="1">
      <alignment vertical="center" wrapText="1"/>
    </xf>
    <xf numFmtId="1" fontId="90" fillId="2" borderId="89" xfId="38" applyNumberFormat="1" applyFont="1" applyFill="1" applyBorder="1" applyAlignment="1">
      <alignment horizontal="center"/>
    </xf>
    <xf numFmtId="0" fontId="90" fillId="0" borderId="0" xfId="38" applyFont="1" applyAlignment="1">
      <alignment vertical="center"/>
    </xf>
    <xf numFmtId="1" fontId="90" fillId="0" borderId="0" xfId="38" applyNumberFormat="1" applyFont="1" applyAlignment="1">
      <alignment horizontal="center"/>
    </xf>
    <xf numFmtId="1" fontId="90" fillId="2" borderId="49" xfId="38" applyNumberFormat="1" applyFont="1" applyFill="1" applyBorder="1" applyAlignment="1">
      <alignment horizontal="center"/>
    </xf>
    <xf numFmtId="43" fontId="98" fillId="0" borderId="0" xfId="38" applyNumberFormat="1" applyFont="1"/>
    <xf numFmtId="2" fontId="90" fillId="0" borderId="0" xfId="38" applyNumberFormat="1" applyFont="1" applyAlignment="1">
      <alignment vertical="center"/>
    </xf>
    <xf numFmtId="1" fontId="90" fillId="2" borderId="39" xfId="38" applyNumberFormat="1" applyFont="1" applyFill="1" applyBorder="1" applyAlignment="1">
      <alignment horizontal="center"/>
    </xf>
    <xf numFmtId="4" fontId="90" fillId="0" borderId="0" xfId="38" applyNumberFormat="1" applyFont="1" applyAlignment="1">
      <alignment vertical="center"/>
    </xf>
    <xf numFmtId="0" fontId="97" fillId="3" borderId="0" xfId="38" applyFont="1" applyFill="1" applyAlignment="1">
      <alignment vertical="center"/>
    </xf>
    <xf numFmtId="0" fontId="90" fillId="3" borderId="0" xfId="38" applyFont="1" applyFill="1" applyAlignment="1">
      <alignment vertical="center"/>
    </xf>
    <xf numFmtId="1" fontId="90" fillId="2" borderId="55" xfId="38" applyNumberFormat="1" applyFont="1" applyFill="1" applyBorder="1" applyAlignment="1">
      <alignment horizontal="center"/>
    </xf>
    <xf numFmtId="0" fontId="97" fillId="0" borderId="0" xfId="38" applyFont="1" applyAlignment="1">
      <alignment horizontal="left"/>
    </xf>
    <xf numFmtId="43" fontId="90" fillId="3" borderId="0" xfId="38" applyNumberFormat="1" applyFont="1" applyFill="1"/>
    <xf numFmtId="1" fontId="90" fillId="2" borderId="57" xfId="38" applyNumberFormat="1" applyFont="1" applyFill="1" applyBorder="1" applyAlignment="1">
      <alignment horizontal="center"/>
    </xf>
    <xf numFmtId="43" fontId="97" fillId="3" borderId="0" xfId="38" applyNumberFormat="1" applyFont="1" applyFill="1"/>
    <xf numFmtId="1" fontId="90" fillId="2" borderId="15" xfId="38" applyNumberFormat="1" applyFont="1" applyFill="1" applyBorder="1" applyAlignment="1">
      <alignment horizontal="center"/>
    </xf>
    <xf numFmtId="1" fontId="90" fillId="2" borderId="30" xfId="38" applyNumberFormat="1" applyFont="1" applyFill="1" applyBorder="1" applyAlignment="1">
      <alignment horizontal="center"/>
    </xf>
    <xf numFmtId="49" fontId="97" fillId="0" borderId="0" xfId="38" applyNumberFormat="1" applyFont="1"/>
    <xf numFmtId="1" fontId="90" fillId="2" borderId="33" xfId="38" applyNumberFormat="1" applyFont="1" applyFill="1" applyBorder="1" applyAlignment="1">
      <alignment horizontal="center"/>
    </xf>
    <xf numFmtId="0" fontId="99" fillId="3" borderId="0" xfId="38" applyFont="1" applyFill="1" applyAlignment="1">
      <alignment horizontal="center"/>
    </xf>
    <xf numFmtId="0" fontId="97" fillId="3" borderId="0" xfId="38" applyFont="1" applyFill="1" applyAlignment="1">
      <alignment horizontal="left" vertical="center"/>
    </xf>
    <xf numFmtId="0" fontId="99" fillId="3" borderId="0" xfId="38" applyFont="1" applyFill="1"/>
    <xf numFmtId="0" fontId="97" fillId="3" borderId="121" xfId="38" applyFont="1" applyFill="1" applyBorder="1" applyAlignment="1">
      <alignment horizontal="center" vertical="center" wrapText="1"/>
    </xf>
    <xf numFmtId="0" fontId="97" fillId="3" borderId="136" xfId="38" applyFont="1" applyFill="1" applyBorder="1" applyAlignment="1">
      <alignment horizontal="center" vertical="center" wrapText="1"/>
    </xf>
    <xf numFmtId="0" fontId="90" fillId="4" borderId="33" xfId="38" applyFont="1" applyFill="1" applyBorder="1" applyAlignment="1">
      <alignment horizontal="center" vertical="center"/>
    </xf>
    <xf numFmtId="0" fontId="90" fillId="4" borderId="34" xfId="38" applyFont="1" applyFill="1" applyBorder="1" applyAlignment="1">
      <alignment horizontal="center" vertical="center"/>
    </xf>
    <xf numFmtId="0" fontId="101" fillId="3" borderId="121" xfId="38" applyFont="1" applyFill="1" applyBorder="1" applyAlignment="1">
      <alignment horizontal="center" vertical="center" wrapText="1"/>
    </xf>
    <xf numFmtId="0" fontId="101" fillId="3" borderId="136" xfId="38" applyFont="1" applyFill="1" applyBorder="1" applyAlignment="1">
      <alignment horizontal="center" vertical="center" wrapText="1"/>
    </xf>
    <xf numFmtId="0" fontId="101" fillId="0" borderId="0" xfId="38" applyFont="1" applyAlignment="1">
      <alignment horizontal="center" vertical="center"/>
    </xf>
    <xf numFmtId="0" fontId="97" fillId="0" borderId="0" xfId="38" applyFont="1" applyAlignment="1">
      <alignment horizontal="center" vertical="center"/>
    </xf>
    <xf numFmtId="0" fontId="97" fillId="3" borderId="164" xfId="38" applyFont="1" applyFill="1" applyBorder="1" applyAlignment="1">
      <alignment horizontal="left" vertical="center"/>
    </xf>
    <xf numFmtId="0" fontId="97" fillId="3" borderId="165" xfId="38" applyFont="1" applyFill="1" applyBorder="1" applyAlignment="1">
      <alignment horizontal="left" vertical="center"/>
    </xf>
    <xf numFmtId="0" fontId="97" fillId="0" borderId="87" xfId="38" applyFont="1" applyBorder="1" applyAlignment="1">
      <alignment horizontal="center" vertical="center"/>
    </xf>
    <xf numFmtId="0" fontId="97" fillId="3" borderId="168" xfId="38" applyFont="1" applyFill="1" applyBorder="1" applyAlignment="1">
      <alignment horizontal="center" vertical="center"/>
    </xf>
    <xf numFmtId="0" fontId="97" fillId="3" borderId="169" xfId="38" applyFont="1" applyFill="1" applyBorder="1" applyAlignment="1">
      <alignment horizontal="center" vertical="center"/>
    </xf>
    <xf numFmtId="0" fontId="97" fillId="0" borderId="134" xfId="38" applyFont="1" applyBorder="1" applyAlignment="1">
      <alignment horizontal="center" vertical="center"/>
    </xf>
    <xf numFmtId="0" fontId="97" fillId="0" borderId="135" xfId="38" applyFont="1" applyBorder="1" applyAlignment="1">
      <alignment horizontal="center" vertical="center"/>
    </xf>
    <xf numFmtId="0" fontId="97" fillId="0" borderId="120" xfId="38" applyFont="1" applyBorder="1" applyAlignment="1">
      <alignment horizontal="center" vertical="center" wrapText="1"/>
    </xf>
    <xf numFmtId="0" fontId="97" fillId="0" borderId="122" xfId="38" applyFont="1" applyBorder="1" applyAlignment="1">
      <alignment horizontal="center" vertical="center" wrapText="1"/>
    </xf>
    <xf numFmtId="0" fontId="97" fillId="0" borderId="135" xfId="38" applyFont="1" applyBorder="1" applyAlignment="1">
      <alignment horizontal="center" vertical="center" wrapText="1"/>
    </xf>
    <xf numFmtId="0" fontId="97" fillId="0" borderId="121" xfId="38" applyFont="1" applyBorder="1" applyAlignment="1">
      <alignment horizontal="center" vertical="center" wrapText="1"/>
    </xf>
    <xf numFmtId="0" fontId="97" fillId="0" borderId="136" xfId="38" applyFont="1" applyBorder="1" applyAlignment="1">
      <alignment horizontal="center" vertical="center" wrapText="1"/>
    </xf>
    <xf numFmtId="0" fontId="97" fillId="0" borderId="134" xfId="38" applyFont="1" applyBorder="1" applyAlignment="1">
      <alignment horizontal="left" vertical="center"/>
    </xf>
    <xf numFmtId="0" fontId="97" fillId="0" borderId="135" xfId="38" applyFont="1" applyBorder="1" applyAlignment="1">
      <alignment horizontal="left" vertical="center"/>
    </xf>
    <xf numFmtId="0" fontId="97" fillId="0" borderId="125" xfId="38" applyFont="1" applyBorder="1" applyAlignment="1">
      <alignment horizontal="center" vertical="center"/>
    </xf>
    <xf numFmtId="0" fontId="97" fillId="0" borderId="121" xfId="38" applyFont="1" applyBorder="1" applyAlignment="1">
      <alignment horizontal="center" vertical="center"/>
    </xf>
    <xf numFmtId="0" fontId="97" fillId="0" borderId="136" xfId="38" applyFont="1" applyBorder="1" applyAlignment="1">
      <alignment horizontal="center" vertical="center"/>
    </xf>
    <xf numFmtId="0" fontId="97" fillId="3" borderId="134" xfId="38" applyFont="1" applyFill="1" applyBorder="1" applyAlignment="1">
      <alignment horizontal="left" vertical="center"/>
    </xf>
    <xf numFmtId="0" fontId="97" fillId="3" borderId="135" xfId="38" applyFont="1" applyFill="1" applyBorder="1" applyAlignment="1">
      <alignment horizontal="left" vertical="center"/>
    </xf>
    <xf numFmtId="0" fontId="97" fillId="3" borderId="121" xfId="38" applyFont="1" applyFill="1" applyBorder="1" applyAlignment="1">
      <alignment horizontal="center" vertical="center"/>
    </xf>
    <xf numFmtId="0" fontId="97" fillId="3" borderId="136" xfId="38" applyFont="1" applyFill="1" applyBorder="1" applyAlignment="1">
      <alignment horizontal="center" vertical="center"/>
    </xf>
    <xf numFmtId="0" fontId="102" fillId="0" borderId="121" xfId="38" applyFont="1" applyBorder="1" applyAlignment="1">
      <alignment horizontal="center" vertical="center" wrapText="1"/>
    </xf>
    <xf numFmtId="0" fontId="102" fillId="0" borderId="136" xfId="38" applyFont="1" applyBorder="1" applyAlignment="1">
      <alignment horizontal="center" vertical="center" wrapText="1"/>
    </xf>
    <xf numFmtId="0" fontId="99" fillId="0" borderId="0" xfId="38" applyFont="1" applyAlignment="1">
      <alignment horizontal="center"/>
    </xf>
    <xf numFmtId="0" fontId="101" fillId="0" borderId="121" xfId="38" applyFont="1" applyBorder="1" applyAlignment="1">
      <alignment horizontal="center" vertical="center" wrapText="1"/>
    </xf>
    <xf numFmtId="0" fontId="101" fillId="0" borderId="136" xfId="38" applyFont="1" applyBorder="1" applyAlignment="1">
      <alignment horizontal="center" vertical="center" wrapText="1"/>
    </xf>
    <xf numFmtId="0" fontId="103" fillId="0" borderId="134" xfId="38" applyFont="1" applyBorder="1" applyAlignment="1">
      <alignment horizontal="left" vertical="center"/>
    </xf>
    <xf numFmtId="0" fontId="103" fillId="0" borderId="135" xfId="38" applyFont="1" applyBorder="1" applyAlignment="1">
      <alignment horizontal="left" vertical="center"/>
    </xf>
    <xf numFmtId="0" fontId="103" fillId="0" borderId="125" xfId="38" applyFont="1" applyBorder="1" applyAlignment="1">
      <alignment horizontal="center" vertical="center"/>
    </xf>
    <xf numFmtId="0" fontId="103" fillId="0" borderId="121" xfId="38" applyFont="1" applyBorder="1" applyAlignment="1">
      <alignment horizontal="center" vertical="center"/>
    </xf>
    <xf numFmtId="0" fontId="103" fillId="0" borderId="136" xfId="38" applyFont="1" applyBorder="1" applyAlignment="1">
      <alignment horizontal="center" vertical="center"/>
    </xf>
    <xf numFmtId="0" fontId="103" fillId="0" borderId="0" xfId="38" applyFont="1" applyAlignment="1">
      <alignment horizontal="center" vertical="center"/>
    </xf>
    <xf numFmtId="0" fontId="103" fillId="0" borderId="0" xfId="38" applyFont="1" applyAlignment="1">
      <alignment horizontal="left" vertical="center"/>
    </xf>
    <xf numFmtId="0" fontId="103" fillId="0" borderId="0" xfId="38" applyFont="1"/>
    <xf numFmtId="0" fontId="103" fillId="0" borderId="121" xfId="38" applyFont="1" applyBorder="1" applyAlignment="1">
      <alignment horizontal="center" vertical="center" wrapText="1"/>
    </xf>
    <xf numFmtId="0" fontId="103" fillId="0" borderId="136" xfId="38" applyFont="1" applyBorder="1" applyAlignment="1">
      <alignment horizontal="center" vertical="center" wrapText="1"/>
    </xf>
    <xf numFmtId="2" fontId="103" fillId="0" borderId="0" xfId="38" applyNumberFormat="1" applyFont="1"/>
    <xf numFmtId="0" fontId="90" fillId="0" borderId="0" xfId="38" applyFont="1" applyAlignment="1">
      <alignment horizontal="center" vertical="center"/>
    </xf>
    <xf numFmtId="0" fontId="101" fillId="3" borderId="134" xfId="38" applyFont="1" applyFill="1" applyBorder="1" applyAlignment="1">
      <alignment horizontal="left" vertical="center"/>
    </xf>
    <xf numFmtId="0" fontId="101" fillId="3" borderId="135" xfId="38" applyFont="1" applyFill="1" applyBorder="1" applyAlignment="1">
      <alignment horizontal="left" vertical="center"/>
    </xf>
    <xf numFmtId="0" fontId="101" fillId="3" borderId="121" xfId="38" applyFont="1" applyFill="1" applyBorder="1" applyAlignment="1">
      <alignment horizontal="center" vertical="center"/>
    </xf>
    <xf numFmtId="0" fontId="101" fillId="3" borderId="136" xfId="38" applyFont="1" applyFill="1" applyBorder="1" applyAlignment="1">
      <alignment horizontal="center" vertical="center"/>
    </xf>
    <xf numFmtId="0" fontId="101" fillId="3" borderId="0" xfId="38" applyFont="1" applyFill="1" applyAlignment="1">
      <alignment horizontal="center" vertical="center"/>
    </xf>
    <xf numFmtId="0" fontId="97" fillId="3" borderId="170" xfId="38" applyFont="1" applyFill="1" applyBorder="1" applyAlignment="1">
      <alignment horizontal="left" vertical="center"/>
    </xf>
    <xf numFmtId="0" fontId="97" fillId="3" borderId="171" xfId="38" applyFont="1" applyFill="1" applyBorder="1" applyAlignment="1">
      <alignment horizontal="left" vertical="center"/>
    </xf>
    <xf numFmtId="0" fontId="97" fillId="0" borderId="172" xfId="38" applyFont="1" applyBorder="1" applyAlignment="1">
      <alignment horizontal="center" vertical="center"/>
    </xf>
    <xf numFmtId="0" fontId="97" fillId="3" borderId="172" xfId="38" applyFont="1" applyFill="1" applyBorder="1" applyAlignment="1">
      <alignment horizontal="center" vertical="center"/>
    </xf>
    <xf numFmtId="0" fontId="97" fillId="3" borderId="137" xfId="38" applyFont="1" applyFill="1" applyBorder="1" applyAlignment="1">
      <alignment horizontal="center" vertical="center"/>
    </xf>
    <xf numFmtId="0" fontId="90" fillId="2" borderId="81" xfId="38" applyFont="1" applyFill="1" applyBorder="1" applyAlignment="1">
      <alignment horizontal="center" vertical="center"/>
    </xf>
    <xf numFmtId="0" fontId="90" fillId="2" borderId="58" xfId="38" applyFont="1" applyFill="1" applyBorder="1" applyAlignment="1">
      <alignment horizontal="center" vertical="center"/>
    </xf>
    <xf numFmtId="0" fontId="97" fillId="3" borderId="43" xfId="38" applyFont="1" applyFill="1" applyBorder="1" applyAlignment="1">
      <alignment vertical="center"/>
    </xf>
    <xf numFmtId="0" fontId="104" fillId="0" borderId="0" xfId="38" applyFont="1"/>
    <xf numFmtId="0" fontId="104" fillId="0" borderId="0" xfId="38" applyFont="1" applyAlignment="1">
      <alignment horizontal="center"/>
    </xf>
    <xf numFmtId="0" fontId="105" fillId="0" borderId="0" xfId="38" applyFont="1" applyAlignment="1">
      <alignment horizontal="left"/>
    </xf>
    <xf numFmtId="0" fontId="85" fillId="0" borderId="0" xfId="38" applyFont="1" applyAlignment="1">
      <alignment horizontal="center" vertical="center"/>
    </xf>
    <xf numFmtId="0" fontId="85" fillId="0" borderId="0" xfId="38" applyFont="1" applyAlignment="1">
      <alignment horizontal="center" vertical="center" wrapText="1"/>
    </xf>
    <xf numFmtId="2" fontId="104" fillId="0" borderId="0" xfId="38" applyNumberFormat="1" applyFont="1"/>
    <xf numFmtId="0" fontId="85" fillId="0" borderId="0" xfId="38" applyFont="1" applyAlignment="1">
      <alignment vertical="center" wrapText="1"/>
    </xf>
    <xf numFmtId="0" fontId="85" fillId="3" borderId="0" xfId="38" applyFont="1" applyFill="1" applyAlignment="1">
      <alignment horizontal="center" vertical="center"/>
    </xf>
    <xf numFmtId="49" fontId="72" fillId="0" borderId="0" xfId="46" applyNumberFormat="1" applyFont="1" applyFill="1" applyBorder="1" applyAlignment="1" applyProtection="1">
      <alignment horizontal="center" vertical="top"/>
    </xf>
    <xf numFmtId="0" fontId="72" fillId="0" borderId="0" xfId="35" applyFont="1" applyAlignment="1">
      <alignment horizontal="center" vertical="top"/>
    </xf>
    <xf numFmtId="0" fontId="71" fillId="0" borderId="0" xfId="47" applyFont="1"/>
    <xf numFmtId="175" fontId="72" fillId="0" borderId="0" xfId="46" applyFont="1" applyFill="1" applyBorder="1" applyAlignment="1" applyProtection="1">
      <alignment horizontal="center" vertical="top"/>
    </xf>
    <xf numFmtId="0" fontId="6" fillId="0" borderId="0" xfId="35" applyFont="1" applyAlignment="1">
      <alignment horizontal="center" vertical="top"/>
    </xf>
    <xf numFmtId="0" fontId="6" fillId="0" borderId="0" xfId="48" applyFont="1"/>
    <xf numFmtId="0" fontId="72" fillId="0" borderId="0" xfId="48" applyFont="1"/>
    <xf numFmtId="0" fontId="67" fillId="0" borderId="0" xfId="48" applyFont="1" applyAlignment="1">
      <alignment horizontal="center"/>
    </xf>
    <xf numFmtId="0" fontId="2" fillId="0" borderId="0" xfId="34" applyFont="1" applyAlignment="1">
      <alignment horizontal="right" vertical="center" wrapText="1"/>
    </xf>
    <xf numFmtId="10" fontId="67" fillId="0" borderId="0" xfId="16" applyNumberFormat="1" applyFont="1" applyBorder="1" applyAlignment="1">
      <alignment horizontal="center" vertical="center" wrapText="1"/>
    </xf>
    <xf numFmtId="0" fontId="115" fillId="0" borderId="0" xfId="48" applyFont="1" applyAlignment="1">
      <alignment wrapText="1"/>
    </xf>
    <xf numFmtId="0" fontId="115" fillId="0" borderId="0" xfId="48" applyFont="1" applyAlignment="1">
      <alignment horizontal="center" wrapText="1"/>
    </xf>
    <xf numFmtId="0" fontId="115" fillId="0" borderId="0" xfId="48" applyFont="1" applyAlignment="1">
      <alignment horizontal="center" vertical="center" wrapText="1"/>
    </xf>
    <xf numFmtId="0" fontId="115" fillId="0" borderId="0" xfId="48" applyFont="1" applyAlignment="1">
      <alignment horizontal="right" wrapText="1"/>
    </xf>
    <xf numFmtId="0" fontId="115" fillId="0" borderId="0" xfId="48" applyFont="1" applyAlignment="1">
      <alignment vertical="center" wrapText="1"/>
    </xf>
    <xf numFmtId="0" fontId="46" fillId="8" borderId="181" xfId="48" applyFont="1" applyFill="1" applyBorder="1" applyAlignment="1">
      <alignment horizontal="center" vertical="center" wrapText="1"/>
    </xf>
    <xf numFmtId="0" fontId="46" fillId="8" borderId="185" xfId="48" applyFont="1" applyFill="1" applyBorder="1" applyAlignment="1">
      <alignment horizontal="right" vertical="center" wrapText="1"/>
    </xf>
    <xf numFmtId="17" fontId="46" fillId="8" borderId="186" xfId="48" applyNumberFormat="1" applyFont="1" applyFill="1" applyBorder="1" applyAlignment="1">
      <alignment horizontal="center" vertical="center" wrapText="1"/>
    </xf>
    <xf numFmtId="0" fontId="44" fillId="8" borderId="187" xfId="48" applyFont="1" applyFill="1" applyBorder="1" applyAlignment="1">
      <alignment horizontal="center" vertical="center" wrapText="1"/>
    </xf>
    <xf numFmtId="0" fontId="46" fillId="8" borderId="39" xfId="48" applyFont="1" applyFill="1" applyBorder="1" applyAlignment="1">
      <alignment horizontal="right" vertical="center" wrapText="1"/>
    </xf>
    <xf numFmtId="0" fontId="46" fillId="8" borderId="188" xfId="48" applyFont="1" applyFill="1" applyBorder="1" applyAlignment="1">
      <alignment horizontal="center" vertical="center" wrapText="1"/>
    </xf>
    <xf numFmtId="49" fontId="44" fillId="0" borderId="197" xfId="48" applyNumberFormat="1" applyFont="1" applyBorder="1" applyAlignment="1">
      <alignment horizontal="center" vertical="center" wrapText="1"/>
    </xf>
    <xf numFmtId="0" fontId="44" fillId="0" borderId="151" xfId="48" applyFont="1" applyBorder="1" applyAlignment="1">
      <alignment vertical="center" wrapText="1"/>
    </xf>
    <xf numFmtId="0" fontId="44" fillId="0" borderId="151" xfId="48" applyFont="1" applyBorder="1" applyAlignment="1">
      <alignment horizontal="center" vertical="center" wrapText="1"/>
    </xf>
    <xf numFmtId="194" fontId="44" fillId="0" borderId="151" xfId="48" applyNumberFormat="1" applyFont="1" applyBorder="1" applyAlignment="1">
      <alignment vertical="center" wrapText="1"/>
    </xf>
    <xf numFmtId="2" fontId="44" fillId="0" borderId="151" xfId="48" applyNumberFormat="1" applyFont="1" applyBorder="1" applyAlignment="1">
      <alignment horizontal="right" vertical="center" wrapText="1"/>
    </xf>
    <xf numFmtId="2" fontId="44" fillId="0" borderId="198" xfId="48" applyNumberFormat="1" applyFont="1" applyBorder="1" applyAlignment="1">
      <alignment vertical="center" wrapText="1"/>
    </xf>
    <xf numFmtId="49" fontId="44" fillId="0" borderId="199" xfId="48" applyNumberFormat="1" applyFont="1" applyBorder="1" applyAlignment="1">
      <alignment horizontal="center" vertical="center" wrapText="1"/>
    </xf>
    <xf numFmtId="0" fontId="44" fillId="0" borderId="145" xfId="48" applyFont="1" applyBorder="1" applyAlignment="1">
      <alignment vertical="center" wrapText="1"/>
    </xf>
    <xf numFmtId="0" fontId="44" fillId="0" borderId="145" xfId="48" applyFont="1" applyBorder="1" applyAlignment="1">
      <alignment horizontal="center" vertical="center" wrapText="1"/>
    </xf>
    <xf numFmtId="194" fontId="44" fillId="0" borderId="145" xfId="48" applyNumberFormat="1" applyFont="1" applyBorder="1" applyAlignment="1">
      <alignment vertical="center" wrapText="1"/>
    </xf>
    <xf numFmtId="2" fontId="44" fillId="0" borderId="145" xfId="48" applyNumberFormat="1" applyFont="1" applyBorder="1" applyAlignment="1">
      <alignment horizontal="right" vertical="center" wrapText="1"/>
    </xf>
    <xf numFmtId="4" fontId="46" fillId="0" borderId="201" xfId="48" applyNumberFormat="1" applyFont="1" applyBorder="1" applyAlignment="1">
      <alignment vertical="center" wrapText="1"/>
    </xf>
    <xf numFmtId="2" fontId="44" fillId="0" borderId="151" xfId="48" applyNumberFormat="1" applyFont="1" applyBorder="1" applyAlignment="1">
      <alignment vertical="center" wrapText="1"/>
    </xf>
    <xf numFmtId="43" fontId="44" fillId="0" borderId="151" xfId="48" applyNumberFormat="1" applyFont="1" applyBorder="1" applyAlignment="1">
      <alignment horizontal="right" vertical="center" wrapText="1"/>
    </xf>
    <xf numFmtId="4" fontId="44" fillId="0" borderId="198" xfId="48" applyNumberFormat="1" applyFont="1" applyBorder="1" applyAlignment="1">
      <alignment vertical="center" wrapText="1"/>
    </xf>
    <xf numFmtId="4" fontId="44" fillId="0" borderId="202" xfId="48" applyNumberFormat="1" applyFont="1" applyBorder="1" applyAlignment="1">
      <alignment vertical="center" wrapText="1"/>
    </xf>
    <xf numFmtId="2" fontId="44" fillId="0" borderId="145" xfId="48" applyNumberFormat="1" applyFont="1" applyBorder="1" applyAlignment="1">
      <alignment vertical="center" wrapText="1"/>
    </xf>
    <xf numFmtId="43" fontId="44" fillId="0" borderId="145" xfId="48" applyNumberFormat="1" applyFont="1" applyBorder="1" applyAlignment="1">
      <alignment horizontal="right" vertical="center" wrapText="1"/>
    </xf>
    <xf numFmtId="0" fontId="46" fillId="0" borderId="154" xfId="48" applyFont="1" applyBorder="1" applyAlignment="1">
      <alignment horizontal="right" vertical="center" wrapText="1"/>
    </xf>
    <xf numFmtId="2" fontId="44" fillId="0" borderId="202" xfId="48" applyNumberFormat="1" applyFont="1" applyBorder="1" applyAlignment="1">
      <alignment vertical="center" wrapText="1"/>
    </xf>
    <xf numFmtId="0" fontId="44" fillId="0" borderId="145" xfId="48" applyFont="1" applyBorder="1" applyAlignment="1">
      <alignment horizontal="justify" vertical="center" wrapText="1"/>
    </xf>
    <xf numFmtId="4" fontId="46" fillId="8" borderId="212" xfId="48" applyNumberFormat="1" applyFont="1" applyFill="1" applyBorder="1" applyAlignment="1">
      <alignment vertical="center" wrapText="1"/>
    </xf>
    <xf numFmtId="43" fontId="118" fillId="0" borderId="0" xfId="50" applyFont="1" applyAlignment="1">
      <alignment wrapText="1"/>
    </xf>
    <xf numFmtId="0" fontId="46" fillId="8" borderId="213" xfId="48" applyFont="1" applyFill="1" applyBorder="1" applyAlignment="1">
      <alignment horizontal="left" vertical="center" wrapText="1"/>
    </xf>
    <xf numFmtId="0" fontId="46" fillId="8" borderId="122" xfId="48" applyFont="1" applyFill="1" applyBorder="1" applyAlignment="1">
      <alignment horizontal="left" vertical="center" wrapText="1"/>
    </xf>
    <xf numFmtId="10" fontId="46" fillId="8" borderId="122" xfId="48" applyNumberFormat="1" applyFont="1" applyFill="1" applyBorder="1" applyAlignment="1">
      <alignment horizontal="left" vertical="center" wrapText="1"/>
    </xf>
    <xf numFmtId="4" fontId="46" fillId="8" borderId="202" xfId="48" applyNumberFormat="1" applyFont="1" applyFill="1" applyBorder="1" applyAlignment="1">
      <alignment vertical="center" wrapText="1"/>
    </xf>
    <xf numFmtId="43" fontId="115" fillId="0" borderId="0" xfId="48" applyNumberFormat="1" applyFont="1" applyAlignment="1">
      <alignment wrapText="1"/>
    </xf>
    <xf numFmtId="4" fontId="46" fillId="8" borderId="214" xfId="48" applyNumberFormat="1" applyFont="1" applyFill="1" applyBorder="1" applyAlignment="1">
      <alignment vertical="center" wrapText="1"/>
    </xf>
    <xf numFmtId="17" fontId="46" fillId="8" borderId="186" xfId="51" applyNumberFormat="1" applyFont="1" applyFill="1" applyBorder="1" applyAlignment="1">
      <alignment horizontal="center" vertical="center" wrapText="1"/>
    </xf>
    <xf numFmtId="0" fontId="44" fillId="8" borderId="215" xfId="48" applyFont="1" applyFill="1" applyBorder="1" applyAlignment="1">
      <alignment horizontal="center" vertical="center" wrapText="1"/>
    </xf>
    <xf numFmtId="2" fontId="46" fillId="0" borderId="201" xfId="48" applyNumberFormat="1" applyFont="1" applyBorder="1" applyAlignment="1">
      <alignment vertical="center" wrapText="1"/>
    </xf>
    <xf numFmtId="2" fontId="46" fillId="8" borderId="212" xfId="48" applyNumberFormat="1" applyFont="1" applyFill="1" applyBorder="1" applyAlignment="1">
      <alignment vertical="center" wrapText="1"/>
    </xf>
    <xf numFmtId="0" fontId="118" fillId="0" borderId="0" xfId="48" applyFont="1" applyAlignment="1">
      <alignment wrapText="1"/>
    </xf>
    <xf numFmtId="2" fontId="46" fillId="8" borderId="202" xfId="48" applyNumberFormat="1" applyFont="1" applyFill="1" applyBorder="1" applyAlignment="1">
      <alignment vertical="center" wrapText="1"/>
    </xf>
    <xf numFmtId="2" fontId="46" fillId="8" borderId="214" xfId="48" applyNumberFormat="1" applyFont="1" applyFill="1" applyBorder="1" applyAlignment="1">
      <alignment vertical="center" wrapText="1"/>
    </xf>
    <xf numFmtId="0" fontId="6" fillId="0" borderId="0" xfId="48" applyFont="1" applyAlignment="1">
      <alignment wrapText="1"/>
    </xf>
    <xf numFmtId="0" fontId="6" fillId="0" borderId="0" xfId="48" applyFont="1" applyAlignment="1">
      <alignment horizontal="center" wrapText="1"/>
    </xf>
    <xf numFmtId="0" fontId="6" fillId="0" borderId="0" xfId="48" applyFont="1" applyAlignment="1">
      <alignment horizontal="center" vertical="center" wrapText="1"/>
    </xf>
    <xf numFmtId="0" fontId="6" fillId="0" borderId="0" xfId="48" applyFont="1" applyAlignment="1">
      <alignment horizontal="right" wrapText="1"/>
    </xf>
    <xf numFmtId="0" fontId="6" fillId="0" borderId="0" xfId="48" applyFont="1" applyAlignment="1">
      <alignment vertical="center" wrapText="1"/>
    </xf>
    <xf numFmtId="0" fontId="67" fillId="8" borderId="181" xfId="48" applyFont="1" applyFill="1" applyBorder="1" applyAlignment="1">
      <alignment horizontal="center" vertical="center" wrapText="1"/>
    </xf>
    <xf numFmtId="0" fontId="67" fillId="8" borderId="185" xfId="48" applyFont="1" applyFill="1" applyBorder="1" applyAlignment="1">
      <alignment horizontal="right" vertical="center" wrapText="1"/>
    </xf>
    <xf numFmtId="0" fontId="2" fillId="8" borderId="187" xfId="48" applyFont="1" applyFill="1" applyBorder="1" applyAlignment="1">
      <alignment horizontal="center" vertical="center" wrapText="1"/>
    </xf>
    <xf numFmtId="0" fontId="67" fillId="8" borderId="39" xfId="48" applyFont="1" applyFill="1" applyBorder="1" applyAlignment="1">
      <alignment horizontal="right" vertical="center" wrapText="1"/>
    </xf>
    <xf numFmtId="0" fontId="67" fillId="8" borderId="188" xfId="48" applyFont="1" applyFill="1" applyBorder="1" applyAlignment="1">
      <alignment horizontal="center" vertical="center" wrapText="1"/>
    </xf>
    <xf numFmtId="49" fontId="2" fillId="0" borderId="197" xfId="48" applyNumberFormat="1" applyFont="1" applyBorder="1" applyAlignment="1">
      <alignment horizontal="center" vertical="center" wrapText="1"/>
    </xf>
    <xf numFmtId="0" fontId="2" fillId="0" borderId="151" xfId="48" applyFont="1" applyBorder="1" applyAlignment="1">
      <alignment horizontal="center" vertical="center" wrapText="1"/>
    </xf>
    <xf numFmtId="194" fontId="2" fillId="0" borderId="151" xfId="48" applyNumberFormat="1" applyFont="1" applyBorder="1" applyAlignment="1">
      <alignment vertical="center" wrapText="1"/>
    </xf>
    <xf numFmtId="2" fontId="2" fillId="0" borderId="151" xfId="48" applyNumberFormat="1" applyFont="1" applyBorder="1" applyAlignment="1">
      <alignment horizontal="right" vertical="center" wrapText="1"/>
    </xf>
    <xf numFmtId="2" fontId="2" fillId="0" borderId="198" xfId="48" applyNumberFormat="1" applyFont="1" applyBorder="1" applyAlignment="1">
      <alignment vertical="center" wrapText="1"/>
    </xf>
    <xf numFmtId="49" fontId="2" fillId="0" borderId="199" xfId="48" applyNumberFormat="1" applyFont="1" applyBorder="1" applyAlignment="1">
      <alignment horizontal="center" vertical="center" wrapText="1"/>
    </xf>
    <xf numFmtId="0" fontId="2" fillId="0" borderId="145" xfId="48" applyFont="1" applyBorder="1" applyAlignment="1">
      <alignment horizontal="center" vertical="center" wrapText="1"/>
    </xf>
    <xf numFmtId="194" fontId="2" fillId="0" borderId="145" xfId="48" applyNumberFormat="1" applyFont="1" applyBorder="1" applyAlignment="1">
      <alignment vertical="center" wrapText="1"/>
    </xf>
    <xf numFmtId="2" fontId="2" fillId="0" borderId="145" xfId="48" applyNumberFormat="1" applyFont="1" applyBorder="1" applyAlignment="1">
      <alignment horizontal="right" vertical="center" wrapText="1"/>
    </xf>
    <xf numFmtId="0" fontId="2" fillId="0" borderId="145" xfId="48" applyFont="1" applyBorder="1" applyAlignment="1">
      <alignment vertical="center" wrapText="1"/>
    </xf>
    <xf numFmtId="4" fontId="67" fillId="0" borderId="201" xfId="48" applyNumberFormat="1" applyFont="1" applyBorder="1" applyAlignment="1">
      <alignment vertical="center" wrapText="1"/>
    </xf>
    <xf numFmtId="43" fontId="2" fillId="0" borderId="151" xfId="48" applyNumberFormat="1" applyFont="1" applyBorder="1" applyAlignment="1">
      <alignment horizontal="right" vertical="center" wrapText="1"/>
    </xf>
    <xf numFmtId="4" fontId="2" fillId="0" borderId="198" xfId="48" applyNumberFormat="1" applyFont="1" applyBorder="1" applyAlignment="1">
      <alignment vertical="center" wrapText="1"/>
    </xf>
    <xf numFmtId="4" fontId="2" fillId="0" borderId="202" xfId="48" applyNumberFormat="1" applyFont="1" applyBorder="1" applyAlignment="1">
      <alignment vertical="center" wrapText="1"/>
    </xf>
    <xf numFmtId="43" fontId="2" fillId="0" borderId="145" xfId="48" applyNumberFormat="1" applyFont="1" applyBorder="1" applyAlignment="1">
      <alignment horizontal="right" vertical="center" wrapText="1"/>
    </xf>
    <xf numFmtId="0" fontId="67" fillId="0" borderId="154" xfId="48" applyFont="1" applyBorder="1" applyAlignment="1">
      <alignment horizontal="right" vertical="center" wrapText="1"/>
    </xf>
    <xf numFmtId="0" fontId="67" fillId="13" borderId="223" xfId="48" applyFont="1" applyFill="1" applyBorder="1" applyAlignment="1">
      <alignment horizontal="center" vertical="center" wrapText="1"/>
    </xf>
    <xf numFmtId="0" fontId="67" fillId="13" borderId="224" xfId="48" applyFont="1" applyFill="1" applyBorder="1" applyAlignment="1">
      <alignment horizontal="center" vertical="center" wrapText="1"/>
    </xf>
    <xf numFmtId="0" fontId="67" fillId="13" borderId="225" xfId="48" applyFont="1" applyFill="1" applyBorder="1" applyAlignment="1">
      <alignment horizontal="center" vertical="center" wrapText="1"/>
    </xf>
    <xf numFmtId="0" fontId="2" fillId="0" borderId="143" xfId="48" applyFont="1" applyBorder="1" applyAlignment="1">
      <alignment vertical="center" wrapText="1"/>
    </xf>
    <xf numFmtId="0" fontId="2" fillId="0" borderId="143" xfId="53" applyBorder="1" applyAlignment="1">
      <alignment horizontal="center" vertical="center"/>
    </xf>
    <xf numFmtId="2" fontId="2" fillId="0" borderId="143" xfId="53" applyNumberFormat="1" applyBorder="1" applyAlignment="1">
      <alignment vertical="center"/>
    </xf>
    <xf numFmtId="4" fontId="2" fillId="0" borderId="143" xfId="53" applyNumberFormat="1" applyBorder="1" applyAlignment="1">
      <alignment vertical="center"/>
    </xf>
    <xf numFmtId="4" fontId="2" fillId="0" borderId="227" xfId="48" applyNumberFormat="1" applyFont="1" applyBorder="1" applyAlignment="1">
      <alignment vertical="center" wrapText="1"/>
    </xf>
    <xf numFmtId="0" fontId="2" fillId="0" borderId="145" xfId="53" applyBorder="1" applyAlignment="1">
      <alignment horizontal="center" vertical="center"/>
    </xf>
    <xf numFmtId="2" fontId="2" fillId="0" borderId="145" xfId="53" applyNumberFormat="1" applyBorder="1" applyAlignment="1">
      <alignment vertical="center"/>
    </xf>
    <xf numFmtId="4" fontId="2" fillId="0" borderId="145" xfId="53" applyNumberFormat="1" applyBorder="1" applyAlignment="1">
      <alignment vertical="center"/>
    </xf>
    <xf numFmtId="0" fontId="67" fillId="0" borderId="230" xfId="48" applyFont="1" applyBorder="1" applyAlignment="1">
      <alignment horizontal="right" vertical="center" wrapText="1"/>
    </xf>
    <xf numFmtId="4" fontId="67" fillId="0" borderId="231" xfId="48" applyNumberFormat="1" applyFont="1" applyBorder="1" applyAlignment="1">
      <alignment vertical="center" wrapText="1"/>
    </xf>
    <xf numFmtId="4" fontId="6" fillId="0" borderId="0" xfId="48" applyNumberFormat="1" applyFont="1" applyAlignment="1">
      <alignment wrapText="1"/>
    </xf>
    <xf numFmtId="2" fontId="2" fillId="0" borderId="202" xfId="48" applyNumberFormat="1" applyFont="1" applyBorder="1" applyAlignment="1">
      <alignment vertical="center" wrapText="1"/>
    </xf>
    <xf numFmtId="4" fontId="67" fillId="8" borderId="212" xfId="48" applyNumberFormat="1" applyFont="1" applyFill="1" applyBorder="1" applyAlignment="1">
      <alignment vertical="center" wrapText="1"/>
    </xf>
    <xf numFmtId="0" fontId="120" fillId="0" borderId="0" xfId="48" applyFont="1" applyAlignment="1">
      <alignment wrapText="1"/>
    </xf>
    <xf numFmtId="0" fontId="67" fillId="8" borderId="213" xfId="48" applyFont="1" applyFill="1" applyBorder="1" applyAlignment="1">
      <alignment horizontal="left" vertical="center" wrapText="1"/>
    </xf>
    <xf numFmtId="0" fontId="67" fillId="8" borderId="122" xfId="48" applyFont="1" applyFill="1" applyBorder="1" applyAlignment="1">
      <alignment horizontal="left" vertical="center" wrapText="1"/>
    </xf>
    <xf numFmtId="10" fontId="67" fillId="8" borderId="122" xfId="48" applyNumberFormat="1" applyFont="1" applyFill="1" applyBorder="1" applyAlignment="1">
      <alignment horizontal="left" vertical="center" wrapText="1"/>
    </xf>
    <xf numFmtId="4" fontId="67" fillId="8" borderId="202" xfId="48" applyNumberFormat="1" applyFont="1" applyFill="1" applyBorder="1" applyAlignment="1">
      <alignment vertical="center" wrapText="1"/>
    </xf>
    <xf numFmtId="4" fontId="67" fillId="8" borderId="214" xfId="48" applyNumberFormat="1" applyFont="1" applyFill="1" applyBorder="1" applyAlignment="1">
      <alignment vertical="center" wrapText="1"/>
    </xf>
    <xf numFmtId="0" fontId="71" fillId="0" borderId="0" xfId="54" applyFont="1"/>
    <xf numFmtId="175" fontId="72" fillId="0" borderId="0" xfId="46" applyFont="1" applyFill="1" applyBorder="1" applyAlignment="1" applyProtection="1">
      <alignment vertical="top" wrapText="1"/>
    </xf>
    <xf numFmtId="0" fontId="6" fillId="0" borderId="0" xfId="51" applyFont="1"/>
    <xf numFmtId="0" fontId="72" fillId="0" borderId="0" xfId="51" applyFont="1"/>
    <xf numFmtId="0" fontId="67" fillId="0" borderId="0" xfId="51" applyFont="1" applyAlignment="1">
      <alignment horizontal="center"/>
    </xf>
    <xf numFmtId="0" fontId="115" fillId="0" borderId="0" xfId="51" applyFont="1" applyAlignment="1">
      <alignment wrapText="1"/>
    </xf>
    <xf numFmtId="0" fontId="6" fillId="0" borderId="42" xfId="51" applyFont="1" applyBorder="1" applyAlignment="1">
      <alignment vertical="top" wrapText="1"/>
    </xf>
    <xf numFmtId="0" fontId="72" fillId="0" borderId="42" xfId="51" applyFont="1" applyBorder="1" applyAlignment="1">
      <alignment vertical="top" wrapText="1"/>
    </xf>
    <xf numFmtId="0" fontId="72" fillId="0" borderId="42" xfId="51" applyFont="1" applyBorder="1" applyAlignment="1">
      <alignment horizontal="center" vertical="top" wrapText="1"/>
    </xf>
    <xf numFmtId="0" fontId="6" fillId="0" borderId="42" xfId="51" applyFont="1" applyBorder="1" applyAlignment="1">
      <alignment horizontal="right" vertical="top" wrapText="1"/>
    </xf>
    <xf numFmtId="14" fontId="72" fillId="0" borderId="42" xfId="51" applyNumberFormat="1" applyFont="1" applyBorder="1" applyAlignment="1">
      <alignment horizontal="center" vertical="top" wrapText="1"/>
    </xf>
    <xf numFmtId="0" fontId="115" fillId="0" borderId="0" xfId="51" applyFont="1" applyAlignment="1">
      <alignment horizontal="center" wrapText="1"/>
    </xf>
    <xf numFmtId="0" fontId="115" fillId="0" borderId="0" xfId="51" applyFont="1" applyAlignment="1">
      <alignment horizontal="center" vertical="center" wrapText="1"/>
    </xf>
    <xf numFmtId="0" fontId="115" fillId="0" borderId="0" xfId="51" applyFont="1" applyAlignment="1">
      <alignment horizontal="right" wrapText="1"/>
    </xf>
    <xf numFmtId="0" fontId="115" fillId="0" borderId="0" xfId="51" applyFont="1" applyAlignment="1">
      <alignment vertical="center" wrapText="1"/>
    </xf>
    <xf numFmtId="0" fontId="46" fillId="8" borderId="181" xfId="51" applyFont="1" applyFill="1" applyBorder="1" applyAlignment="1">
      <alignment horizontal="center" vertical="center" wrapText="1"/>
    </xf>
    <xf numFmtId="0" fontId="46" fillId="8" borderId="185" xfId="51" applyFont="1" applyFill="1" applyBorder="1" applyAlignment="1">
      <alignment horizontal="right" vertical="center" wrapText="1"/>
    </xf>
    <xf numFmtId="0" fontId="44" fillId="8" borderId="215" xfId="51" applyFont="1" applyFill="1" applyBorder="1" applyAlignment="1">
      <alignment horizontal="center" vertical="center" wrapText="1"/>
    </xf>
    <xf numFmtId="0" fontId="46" fillId="8" borderId="39" xfId="51" applyFont="1" applyFill="1" applyBorder="1" applyAlignment="1">
      <alignment horizontal="right" vertical="center" wrapText="1"/>
    </xf>
    <xf numFmtId="0" fontId="46" fillId="8" borderId="188" xfId="51" applyFont="1" applyFill="1" applyBorder="1" applyAlignment="1">
      <alignment horizontal="center" vertical="center" wrapText="1"/>
    </xf>
    <xf numFmtId="49" fontId="44" fillId="0" borderId="197" xfId="51" applyNumberFormat="1" applyFont="1" applyBorder="1" applyAlignment="1">
      <alignment horizontal="center" vertical="center" wrapText="1"/>
    </xf>
    <xf numFmtId="0" fontId="44" fillId="0" borderId="151" xfId="51" applyFont="1" applyBorder="1" applyAlignment="1">
      <alignment vertical="center" wrapText="1"/>
    </xf>
    <xf numFmtId="0" fontId="44" fillId="0" borderId="151" xfId="51" applyFont="1" applyBorder="1" applyAlignment="1">
      <alignment horizontal="center" vertical="center" wrapText="1"/>
    </xf>
    <xf numFmtId="194" fontId="44" fillId="0" borderId="151" xfId="51" applyNumberFormat="1" applyFont="1" applyBorder="1" applyAlignment="1">
      <alignment vertical="center" wrapText="1"/>
    </xf>
    <xf numFmtId="2" fontId="44" fillId="0" borderId="151" xfId="51" applyNumberFormat="1" applyFont="1" applyBorder="1" applyAlignment="1">
      <alignment horizontal="right" vertical="center" wrapText="1"/>
    </xf>
    <xf numFmtId="2" fontId="44" fillId="0" borderId="202" xfId="51" applyNumberFormat="1" applyFont="1" applyBorder="1" applyAlignment="1">
      <alignment vertical="center" wrapText="1"/>
    </xf>
    <xf numFmtId="49" fontId="44" fillId="0" borderId="199" xfId="51" applyNumberFormat="1" applyFont="1" applyBorder="1" applyAlignment="1">
      <alignment horizontal="center" vertical="center" wrapText="1"/>
    </xf>
    <xf numFmtId="0" fontId="44" fillId="0" borderId="145" xfId="51" applyFont="1" applyBorder="1" applyAlignment="1">
      <alignment vertical="center" wrapText="1"/>
    </xf>
    <xf numFmtId="0" fontId="44" fillId="0" borderId="145" xfId="51" applyFont="1" applyBorder="1" applyAlignment="1">
      <alignment horizontal="center" vertical="center" wrapText="1"/>
    </xf>
    <xf numFmtId="194" fontId="44" fillId="0" borderId="145" xfId="51" applyNumberFormat="1" applyFont="1" applyBorder="1" applyAlignment="1">
      <alignment vertical="center" wrapText="1"/>
    </xf>
    <xf numFmtId="2" fontId="44" fillId="0" borderId="145" xfId="51" applyNumberFormat="1" applyFont="1" applyBorder="1" applyAlignment="1">
      <alignment horizontal="right" vertical="center" wrapText="1"/>
    </xf>
    <xf numFmtId="2" fontId="44" fillId="0" borderId="198" xfId="51" applyNumberFormat="1" applyFont="1" applyBorder="1" applyAlignment="1">
      <alignment vertical="center" wrapText="1"/>
    </xf>
    <xf numFmtId="2" fontId="46" fillId="0" borderId="201" xfId="51" applyNumberFormat="1" applyFont="1" applyBorder="1" applyAlignment="1">
      <alignment vertical="center" wrapText="1"/>
    </xf>
    <xf numFmtId="43" fontId="44" fillId="0" borderId="145" xfId="51" applyNumberFormat="1" applyFont="1" applyBorder="1" applyAlignment="1">
      <alignment horizontal="right" vertical="center" wrapText="1"/>
    </xf>
    <xf numFmtId="43" fontId="44" fillId="0" borderId="151" xfId="51" applyNumberFormat="1" applyFont="1" applyBorder="1" applyAlignment="1">
      <alignment horizontal="right" vertical="center" wrapText="1"/>
    </xf>
    <xf numFmtId="0" fontId="46" fillId="0" borderId="154" xfId="51" applyFont="1" applyBorder="1" applyAlignment="1">
      <alignment horizontal="right" vertical="center" wrapText="1"/>
    </xf>
    <xf numFmtId="2" fontId="46" fillId="8" borderId="212" xfId="51" applyNumberFormat="1" applyFont="1" applyFill="1" applyBorder="1" applyAlignment="1">
      <alignment vertical="center" wrapText="1"/>
    </xf>
    <xf numFmtId="0" fontId="118" fillId="0" borderId="0" xfId="51" applyFont="1" applyAlignment="1">
      <alignment wrapText="1"/>
    </xf>
    <xf numFmtId="0" fontId="46" fillId="8" borderId="213" xfId="51" applyFont="1" applyFill="1" applyBorder="1" applyAlignment="1">
      <alignment horizontal="left" vertical="center" wrapText="1"/>
    </xf>
    <xf numFmtId="0" fontId="46" fillId="8" borderId="122" xfId="51" applyFont="1" applyFill="1" applyBorder="1" applyAlignment="1">
      <alignment horizontal="left" vertical="center" wrapText="1"/>
    </xf>
    <xf numFmtId="10" fontId="46" fillId="8" borderId="122" xfId="51" applyNumberFormat="1" applyFont="1" applyFill="1" applyBorder="1" applyAlignment="1">
      <alignment horizontal="left" vertical="center" wrapText="1"/>
    </xf>
    <xf numFmtId="2" fontId="46" fillId="8" borderId="202" xfId="51" applyNumberFormat="1" applyFont="1" applyFill="1" applyBorder="1" applyAlignment="1">
      <alignment vertical="center" wrapText="1"/>
    </xf>
    <xf numFmtId="2" fontId="46" fillId="8" borderId="214" xfId="51" applyNumberFormat="1" applyFont="1" applyFill="1" applyBorder="1" applyAlignment="1">
      <alignment vertical="center" wrapText="1"/>
    </xf>
    <xf numFmtId="0" fontId="122" fillId="0" borderId="0" xfId="38" applyFont="1" applyAlignment="1">
      <alignment vertical="center"/>
    </xf>
    <xf numFmtId="0" fontId="124" fillId="7" borderId="0" xfId="39" applyFont="1" applyFill="1" applyAlignment="1">
      <alignment vertical="center"/>
    </xf>
    <xf numFmtId="0" fontId="123" fillId="0" borderId="35" xfId="39" applyFont="1" applyBorder="1" applyAlignment="1">
      <alignment horizontal="center" vertical="center" wrapText="1"/>
    </xf>
    <xf numFmtId="0" fontId="123" fillId="0" borderId="235" xfId="39" applyFont="1" applyBorder="1" applyAlignment="1">
      <alignment horizontal="center" vertical="center"/>
    </xf>
    <xf numFmtId="0" fontId="123" fillId="0" borderId="0" xfId="39" applyFont="1" applyAlignment="1">
      <alignment horizontal="centerContinuous" vertical="center"/>
    </xf>
    <xf numFmtId="0" fontId="123" fillId="0" borderId="29" xfId="39" applyFont="1" applyBorder="1" applyAlignment="1">
      <alignment horizontal="centerContinuous" vertical="center"/>
    </xf>
    <xf numFmtId="0" fontId="125" fillId="0" borderId="24" xfId="39" applyFont="1" applyBorder="1" applyAlignment="1">
      <alignment horizontal="center" vertical="center"/>
    </xf>
    <xf numFmtId="0" fontId="125" fillId="0" borderId="30" xfId="39" applyFont="1" applyBorder="1" applyAlignment="1">
      <alignment horizontal="center" vertical="center"/>
    </xf>
    <xf numFmtId="4" fontId="125" fillId="0" borderId="1" xfId="39" applyNumberFormat="1" applyFont="1" applyBorder="1" applyAlignment="1">
      <alignment horizontal="right" vertical="center"/>
    </xf>
    <xf numFmtId="0" fontId="123" fillId="8" borderId="10" xfId="39" applyFont="1" applyFill="1" applyBorder="1" applyAlignment="1">
      <alignment vertical="center"/>
    </xf>
    <xf numFmtId="0" fontId="123" fillId="8" borderId="5" xfId="39" applyFont="1" applyFill="1" applyBorder="1" applyAlignment="1">
      <alignment vertical="center"/>
    </xf>
    <xf numFmtId="0" fontId="123" fillId="0" borderId="1" xfId="39" applyFont="1" applyBorder="1" applyAlignment="1">
      <alignment vertical="center"/>
    </xf>
    <xf numFmtId="0" fontId="123" fillId="0" borderId="1" xfId="39" applyFont="1" applyBorder="1" applyAlignment="1">
      <alignment horizontal="center" vertical="center"/>
    </xf>
    <xf numFmtId="0" fontId="123" fillId="0" borderId="12" xfId="39" applyFont="1" applyBorder="1" applyAlignment="1">
      <alignment horizontal="centerContinuous" vertical="center"/>
    </xf>
    <xf numFmtId="0" fontId="123" fillId="0" borderId="3" xfId="39" applyFont="1" applyBorder="1" applyAlignment="1">
      <alignment horizontal="centerContinuous" vertical="center"/>
    </xf>
    <xf numFmtId="0" fontId="125" fillId="0" borderId="238" xfId="39" applyFont="1" applyBorder="1" applyAlignment="1">
      <alignment horizontal="center" vertical="center"/>
    </xf>
    <xf numFmtId="0" fontId="125" fillId="0" borderId="9" xfId="39" applyFont="1" applyBorder="1" applyAlignment="1">
      <alignment horizontal="center" vertical="center"/>
    </xf>
    <xf numFmtId="4" fontId="125" fillId="0" borderId="9" xfId="39" applyNumberFormat="1" applyFont="1" applyBorder="1" applyAlignment="1">
      <alignment vertical="center"/>
    </xf>
    <xf numFmtId="0" fontId="125" fillId="0" borderId="239" xfId="39" applyFont="1" applyBorder="1" applyAlignment="1">
      <alignment horizontal="center" vertical="center"/>
    </xf>
    <xf numFmtId="0" fontId="125" fillId="0" borderId="2" xfId="39" applyFont="1" applyBorder="1" applyAlignment="1">
      <alignment vertical="center"/>
    </xf>
    <xf numFmtId="0" fontId="125" fillId="0" borderId="2" xfId="39" applyFont="1" applyBorder="1" applyAlignment="1">
      <alignment horizontal="center" vertical="center"/>
    </xf>
    <xf numFmtId="0" fontId="123" fillId="8" borderId="4" xfId="39" applyFont="1" applyFill="1" applyBorder="1" applyAlignment="1">
      <alignment vertical="center"/>
    </xf>
    <xf numFmtId="0" fontId="123" fillId="0" borderId="240" xfId="39" applyFont="1" applyBorder="1" applyAlignment="1">
      <alignment horizontal="center" vertical="center"/>
    </xf>
    <xf numFmtId="2" fontId="125" fillId="0" borderId="9" xfId="39" applyNumberFormat="1" applyFont="1" applyBorder="1" applyAlignment="1">
      <alignment vertical="center"/>
    </xf>
    <xf numFmtId="0" fontId="125" fillId="0" borderId="8" xfId="39" applyFont="1" applyBorder="1" applyAlignment="1">
      <alignment vertical="center"/>
    </xf>
    <xf numFmtId="0" fontId="125" fillId="0" borderId="239" xfId="39" applyFont="1" applyBorder="1" applyAlignment="1">
      <alignment vertical="center"/>
    </xf>
    <xf numFmtId="0" fontId="123" fillId="0" borderId="239" xfId="39" applyFont="1" applyBorder="1" applyAlignment="1">
      <alignment horizontal="left" vertical="center"/>
    </xf>
    <xf numFmtId="4" fontId="125" fillId="0" borderId="11" xfId="39" applyNumberFormat="1" applyFont="1" applyBorder="1" applyAlignment="1">
      <alignment vertical="center"/>
    </xf>
    <xf numFmtId="0" fontId="123" fillId="0" borderId="241" xfId="39" applyFont="1" applyBorder="1" applyAlignment="1">
      <alignment horizontal="center" vertical="center"/>
    </xf>
    <xf numFmtId="10" fontId="123" fillId="0" borderId="2" xfId="39" applyNumberFormat="1" applyFont="1" applyBorder="1" applyAlignment="1">
      <alignment horizontal="centerContinuous" vertical="center"/>
    </xf>
    <xf numFmtId="10" fontId="123" fillId="0" borderId="2" xfId="39" applyNumberFormat="1" applyFont="1" applyBorder="1" applyAlignment="1">
      <alignment vertical="center"/>
    </xf>
    <xf numFmtId="10" fontId="125" fillId="0" borderId="2" xfId="39" applyNumberFormat="1" applyFont="1" applyBorder="1" applyAlignment="1">
      <alignment horizontal="center" vertical="center"/>
    </xf>
    <xf numFmtId="4" fontId="125" fillId="0" borderId="242" xfId="39" applyNumberFormat="1" applyFont="1" applyBorder="1" applyAlignment="1">
      <alignment vertical="center"/>
    </xf>
    <xf numFmtId="0" fontId="123" fillId="29" borderId="23" xfId="39" applyFont="1" applyFill="1" applyBorder="1" applyAlignment="1">
      <alignment horizontal="center" vertical="center" wrapText="1"/>
    </xf>
    <xf numFmtId="0" fontId="123" fillId="29" borderId="243" xfId="39" applyFont="1" applyFill="1" applyBorder="1" applyAlignment="1">
      <alignment horizontal="center" vertical="center" wrapText="1"/>
    </xf>
    <xf numFmtId="0" fontId="123" fillId="0" borderId="244" xfId="39" applyFont="1" applyBorder="1" applyAlignment="1">
      <alignment horizontal="left" vertical="center"/>
    </xf>
    <xf numFmtId="0" fontId="125" fillId="0" borderId="240" xfId="39" applyFont="1" applyBorder="1" applyAlignment="1">
      <alignment horizontal="center" vertical="center"/>
    </xf>
    <xf numFmtId="0" fontId="125" fillId="0" borderId="12" xfId="39" applyFont="1" applyBorder="1" applyAlignment="1">
      <alignment horizontal="left" vertical="center"/>
    </xf>
    <xf numFmtId="0" fontId="125" fillId="0" borderId="1" xfId="39" applyFont="1" applyBorder="1" applyAlignment="1">
      <alignment horizontal="center" vertical="center"/>
    </xf>
    <xf numFmtId="2" fontId="125" fillId="0" borderId="1" xfId="39" applyNumberFormat="1" applyFont="1" applyBorder="1" applyAlignment="1">
      <alignment horizontal="right" vertical="center"/>
    </xf>
    <xf numFmtId="0" fontId="123" fillId="0" borderId="12" xfId="39" applyFont="1" applyBorder="1" applyAlignment="1">
      <alignment horizontal="left" vertical="center"/>
    </xf>
    <xf numFmtId="0" fontId="125" fillId="0" borderId="238" xfId="39" applyFont="1" applyBorder="1" applyAlignment="1">
      <alignment horizontal="center" vertical="center" wrapText="1"/>
    </xf>
    <xf numFmtId="0" fontId="125" fillId="0" borderId="12" xfId="39" applyFont="1" applyBorder="1" applyAlignment="1">
      <alignment horizontal="justify" vertical="center" wrapText="1"/>
    </xf>
    <xf numFmtId="4" fontId="123" fillId="8" borderId="250" xfId="39" applyNumberFormat="1" applyFont="1" applyFill="1" applyBorder="1" applyAlignment="1">
      <alignment vertical="center"/>
    </xf>
    <xf numFmtId="0" fontId="123" fillId="0" borderId="2" xfId="39" applyFont="1" applyBorder="1" applyAlignment="1">
      <alignment horizontal="right" vertical="center"/>
    </xf>
    <xf numFmtId="0" fontId="125" fillId="0" borderId="253" xfId="39" applyFont="1" applyBorder="1" applyAlignment="1">
      <alignment horizontal="center" vertical="center"/>
    </xf>
    <xf numFmtId="0" fontId="125" fillId="0" borderId="254" xfId="39" applyFont="1" applyBorder="1" applyAlignment="1">
      <alignment vertical="center" wrapText="1"/>
    </xf>
    <xf numFmtId="0" fontId="125" fillId="0" borderId="254" xfId="39" applyFont="1" applyBorder="1" applyAlignment="1">
      <alignment horizontal="center" vertical="center"/>
    </xf>
    <xf numFmtId="2" fontId="125" fillId="0" borderId="254" xfId="39" applyNumberFormat="1" applyFont="1" applyBorder="1" applyAlignment="1">
      <alignment vertical="center"/>
    </xf>
    <xf numFmtId="4" fontId="125" fillId="0" borderId="254" xfId="39" applyNumberFormat="1" applyFont="1" applyBorder="1" applyAlignment="1">
      <alignment vertical="center"/>
    </xf>
    <xf numFmtId="0" fontId="125" fillId="0" borderId="30" xfId="39" applyFont="1" applyBorder="1" applyAlignment="1">
      <alignment vertical="center" wrapText="1"/>
    </xf>
    <xf numFmtId="2" fontId="125" fillId="0" borderId="30" xfId="39" applyNumberFormat="1" applyFont="1" applyBorder="1" applyAlignment="1">
      <alignment vertical="center"/>
    </xf>
    <xf numFmtId="4" fontId="125" fillId="0" borderId="30" xfId="39" applyNumberFormat="1" applyFont="1" applyBorder="1" applyAlignment="1">
      <alignment vertical="center"/>
    </xf>
    <xf numFmtId="0" fontId="125" fillId="0" borderId="241" xfId="39" applyFont="1" applyBorder="1" applyAlignment="1">
      <alignment horizontal="center" vertical="center"/>
    </xf>
    <xf numFmtId="0" fontId="125" fillId="0" borderId="8" xfId="39" applyFont="1" applyBorder="1" applyAlignment="1">
      <alignment horizontal="center" vertical="center"/>
    </xf>
    <xf numFmtId="0" fontId="123" fillId="8" borderId="256" xfId="39" applyFont="1" applyFill="1" applyBorder="1" applyAlignment="1">
      <alignment vertical="center"/>
    </xf>
    <xf numFmtId="0" fontId="123" fillId="8" borderId="257" xfId="39" applyFont="1" applyFill="1" applyBorder="1" applyAlignment="1">
      <alignment vertical="center"/>
    </xf>
    <xf numFmtId="0" fontId="44" fillId="0" borderId="0" xfId="39" applyFont="1" applyAlignment="1">
      <alignment vertical="center"/>
    </xf>
    <xf numFmtId="4" fontId="52" fillId="0" borderId="0" xfId="0" applyNumberFormat="1" applyFont="1"/>
    <xf numFmtId="176" fontId="52" fillId="0" borderId="0" xfId="0" applyNumberFormat="1" applyFont="1"/>
    <xf numFmtId="169" fontId="27" fillId="0" borderId="0" xfId="0" applyNumberFormat="1" applyFont="1" applyAlignment="1">
      <alignment vertical="center"/>
    </xf>
    <xf numFmtId="4" fontId="37" fillId="0" borderId="15" xfId="5" quotePrefix="1" applyNumberFormat="1" applyFont="1" applyBorder="1" applyAlignment="1">
      <alignment horizontal="center" vertical="center"/>
    </xf>
    <xf numFmtId="4" fontId="30" fillId="0" borderId="30" xfId="0" applyNumberFormat="1" applyFont="1" applyBorder="1" applyAlignment="1">
      <alignment horizontal="center" vertical="center" wrapText="1"/>
    </xf>
    <xf numFmtId="0" fontId="76" fillId="26" borderId="30" xfId="38" applyFont="1" applyFill="1" applyBorder="1" applyAlignment="1">
      <alignment horizontal="center" vertical="center"/>
    </xf>
    <xf numFmtId="0" fontId="76" fillId="8" borderId="30" xfId="38" applyFont="1" applyFill="1" applyBorder="1" applyAlignment="1">
      <alignment horizontal="center" vertical="center"/>
    </xf>
    <xf numFmtId="2" fontId="77" fillId="0" borderId="30" xfId="38" applyNumberFormat="1" applyFont="1" applyBorder="1" applyAlignment="1">
      <alignment horizontal="center" vertical="center" wrapText="1"/>
    </xf>
    <xf numFmtId="2" fontId="77" fillId="0" borderId="30" xfId="38" applyNumberFormat="1" applyFont="1" applyBorder="1" applyAlignment="1">
      <alignment horizontal="center" vertical="center"/>
    </xf>
    <xf numFmtId="1" fontId="77" fillId="0" borderId="30" xfId="38" applyNumberFormat="1" applyFont="1" applyBorder="1" applyAlignment="1">
      <alignment horizontal="center" vertical="center" wrapText="1"/>
    </xf>
    <xf numFmtId="0" fontId="77" fillId="0" borderId="39" xfId="38" applyFont="1" applyBorder="1" applyAlignment="1">
      <alignment horizontal="right" vertical="center"/>
    </xf>
    <xf numFmtId="2" fontId="77" fillId="0" borderId="38" xfId="38" applyNumberFormat="1" applyFont="1" applyBorder="1" applyAlignment="1">
      <alignment horizontal="left" vertical="center" wrapText="1"/>
    </xf>
    <xf numFmtId="2" fontId="76" fillId="0" borderId="30" xfId="38" applyNumberFormat="1" applyFont="1" applyBorder="1" applyAlignment="1">
      <alignment horizontal="center" vertical="center" wrapText="1"/>
    </xf>
    <xf numFmtId="2" fontId="76" fillId="17" borderId="30" xfId="38" applyNumberFormat="1" applyFont="1" applyFill="1" applyBorder="1" applyAlignment="1">
      <alignment horizontal="center" vertical="center"/>
    </xf>
    <xf numFmtId="2" fontId="77" fillId="0" borderId="142" xfId="38" applyNumberFormat="1" applyFont="1" applyBorder="1" applyAlignment="1">
      <alignment horizontal="center" vertical="center" wrapText="1"/>
    </xf>
    <xf numFmtId="2" fontId="77" fillId="0" borderId="143" xfId="38" applyNumberFormat="1" applyFont="1" applyBorder="1" applyAlignment="1">
      <alignment horizontal="center" vertical="center" wrapText="1"/>
    </xf>
    <xf numFmtId="2" fontId="77" fillId="0" borderId="143" xfId="38" applyNumberFormat="1" applyFont="1" applyBorder="1" applyAlignment="1">
      <alignment horizontal="center" vertical="center"/>
    </xf>
    <xf numFmtId="1" fontId="77" fillId="0" borderId="143" xfId="38" applyNumberFormat="1" applyFont="1" applyBorder="1" applyAlignment="1">
      <alignment horizontal="center" vertical="center" wrapText="1"/>
    </xf>
    <xf numFmtId="2" fontId="77" fillId="0" borderId="144" xfId="38" applyNumberFormat="1" applyFont="1" applyBorder="1" applyAlignment="1">
      <alignment horizontal="center" vertical="center" wrapText="1"/>
    </xf>
    <xf numFmtId="2" fontId="77" fillId="0" borderId="145" xfId="38" applyNumberFormat="1" applyFont="1" applyBorder="1" applyAlignment="1">
      <alignment horizontal="center" vertical="center" wrapText="1"/>
    </xf>
    <xf numFmtId="2" fontId="77" fillId="0" borderId="145" xfId="38" applyNumberFormat="1" applyFont="1" applyBorder="1" applyAlignment="1">
      <alignment horizontal="center" vertical="center"/>
    </xf>
    <xf numFmtId="1" fontId="77" fillId="0" borderId="145" xfId="38" applyNumberFormat="1" applyFont="1" applyBorder="1" applyAlignment="1">
      <alignment horizontal="center" vertical="center" wrapText="1"/>
    </xf>
    <xf numFmtId="2" fontId="77" fillId="0" borderId="147" xfId="38" applyNumberFormat="1" applyFont="1" applyBorder="1" applyAlignment="1">
      <alignment horizontal="center" vertical="center" wrapText="1"/>
    </xf>
    <xf numFmtId="2" fontId="77" fillId="0" borderId="148" xfId="38" applyNumberFormat="1" applyFont="1" applyBorder="1" applyAlignment="1">
      <alignment horizontal="center" vertical="center" wrapText="1"/>
    </xf>
    <xf numFmtId="2" fontId="77" fillId="0" borderId="148" xfId="38" applyNumberFormat="1" applyFont="1" applyBorder="1" applyAlignment="1">
      <alignment horizontal="center" vertical="center"/>
    </xf>
    <xf numFmtId="1" fontId="77" fillId="0" borderId="148" xfId="38" applyNumberFormat="1" applyFont="1" applyBorder="1" applyAlignment="1">
      <alignment horizontal="center" vertical="center" wrapText="1"/>
    </xf>
    <xf numFmtId="2" fontId="77" fillId="0" borderId="39" xfId="38" applyNumberFormat="1" applyFont="1" applyBorder="1" applyAlignment="1">
      <alignment horizontal="right" vertical="center" wrapText="1"/>
    </xf>
    <xf numFmtId="2" fontId="77" fillId="0" borderId="128" xfId="38" applyNumberFormat="1" applyFont="1" applyBorder="1" applyAlignment="1">
      <alignment horizontal="center" vertical="center" wrapText="1"/>
    </xf>
    <xf numFmtId="2" fontId="77" fillId="0" borderId="128" xfId="38" applyNumberFormat="1" applyFont="1" applyBorder="1" applyAlignment="1">
      <alignment horizontal="center" vertical="center"/>
    </xf>
    <xf numFmtId="2" fontId="77" fillId="0" borderId="121" xfId="38" applyNumberFormat="1" applyFont="1" applyBorder="1" applyAlignment="1">
      <alignment horizontal="center" vertical="center" wrapText="1"/>
    </xf>
    <xf numFmtId="2" fontId="77" fillId="0" borderId="121" xfId="38" applyNumberFormat="1" applyFont="1" applyBorder="1" applyAlignment="1">
      <alignment horizontal="center" vertical="center"/>
    </xf>
    <xf numFmtId="2" fontId="77" fillId="0" borderId="125" xfId="38" applyNumberFormat="1" applyFont="1" applyBorder="1" applyAlignment="1">
      <alignment horizontal="center" vertical="center"/>
    </xf>
    <xf numFmtId="2" fontId="77" fillId="0" borderId="125" xfId="38" applyNumberFormat="1" applyFont="1" applyBorder="1" applyAlignment="1">
      <alignment horizontal="center" vertical="center" wrapText="1"/>
    </xf>
    <xf numFmtId="2" fontId="77" fillId="0" borderId="30" xfId="56" applyNumberFormat="1" applyFont="1" applyBorder="1" applyAlignment="1">
      <alignment horizontal="center" vertical="center"/>
    </xf>
    <xf numFmtId="0" fontId="76" fillId="0" borderId="0" xfId="38" applyFont="1" applyAlignment="1">
      <alignment horizontal="left" vertical="center" wrapText="1"/>
    </xf>
    <xf numFmtId="0" fontId="78" fillId="0" borderId="59" xfId="38" applyFont="1" applyBorder="1" applyAlignment="1">
      <alignment horizontal="center" vertical="center"/>
    </xf>
    <xf numFmtId="2" fontId="76" fillId="0" borderId="77" xfId="38" applyNumberFormat="1" applyFont="1" applyBorder="1" applyAlignment="1">
      <alignment vertical="center"/>
    </xf>
    <xf numFmtId="0" fontId="76" fillId="3" borderId="0" xfId="38" applyFont="1" applyFill="1" applyAlignment="1">
      <alignment horizontal="left" vertical="center" wrapText="1"/>
    </xf>
    <xf numFmtId="0" fontId="77" fillId="3" borderId="59" xfId="38" applyFont="1" applyFill="1" applyBorder="1" applyAlignment="1">
      <alignment horizontal="center" vertical="center"/>
    </xf>
    <xf numFmtId="0" fontId="77" fillId="3" borderId="77" xfId="38" applyFont="1" applyFill="1" applyBorder="1" applyAlignment="1">
      <alignment vertical="center"/>
    </xf>
    <xf numFmtId="2" fontId="77" fillId="0" borderId="259" xfId="38" applyNumberFormat="1" applyFont="1" applyBorder="1" applyAlignment="1">
      <alignment horizontal="center" vertical="center" wrapText="1"/>
    </xf>
    <xf numFmtId="2" fontId="77" fillId="0" borderId="260" xfId="38" applyNumberFormat="1" applyFont="1" applyBorder="1" applyAlignment="1">
      <alignment horizontal="center" vertical="center" wrapText="1"/>
    </xf>
    <xf numFmtId="2" fontId="77" fillId="0" borderId="261" xfId="38" applyNumberFormat="1" applyFont="1" applyBorder="1" applyAlignment="1">
      <alignment horizontal="center" vertical="center" wrapText="1"/>
    </xf>
    <xf numFmtId="2" fontId="77" fillId="0" borderId="39" xfId="38" applyNumberFormat="1" applyFont="1" applyBorder="1" applyAlignment="1">
      <alignment horizontal="right" vertical="center"/>
    </xf>
    <xf numFmtId="2" fontId="77" fillId="0" borderId="38" xfId="38" applyNumberFormat="1" applyFont="1" applyBorder="1" applyAlignment="1">
      <alignment horizontal="left" vertical="center"/>
    </xf>
    <xf numFmtId="2" fontId="77" fillId="0" borderId="39" xfId="38" applyNumberFormat="1" applyFont="1" applyBorder="1" applyAlignment="1">
      <alignment vertical="center"/>
    </xf>
    <xf numFmtId="1" fontId="77" fillId="0" borderId="30" xfId="56" applyNumberFormat="1" applyFont="1" applyBorder="1" applyAlignment="1">
      <alignment horizontal="center" vertical="center"/>
    </xf>
    <xf numFmtId="1" fontId="77" fillId="0" borderId="30" xfId="38" applyNumberFormat="1" applyFont="1" applyBorder="1" applyAlignment="1">
      <alignment horizontal="center" vertical="center"/>
    </xf>
    <xf numFmtId="43" fontId="77" fillId="0" borderId="30" xfId="56" applyFont="1" applyBorder="1" applyAlignment="1">
      <alignment vertical="center"/>
    </xf>
    <xf numFmtId="0" fontId="2" fillId="0" borderId="0" xfId="5" applyFont="1"/>
    <xf numFmtId="9" fontId="3" fillId="0" borderId="0" xfId="5" applyNumberFormat="1"/>
    <xf numFmtId="4" fontId="73" fillId="0" borderId="122" xfId="4" applyNumberFormat="1" applyFont="1" applyBorder="1" applyAlignment="1">
      <alignment horizontal="center" vertical="center" shrinkToFit="1"/>
    </xf>
    <xf numFmtId="0" fontId="20" fillId="0" borderId="30" xfId="2" applyFont="1" applyBorder="1" applyAlignment="1">
      <alignment horizontal="center" vertical="center"/>
    </xf>
    <xf numFmtId="49" fontId="86" fillId="0" borderId="59" xfId="0" applyNumberFormat="1" applyFont="1" applyBorder="1" applyAlignment="1">
      <alignment horizontal="center" vertical="center"/>
    </xf>
    <xf numFmtId="0" fontId="85" fillId="0" borderId="59" xfId="0" applyFont="1" applyBorder="1" applyAlignment="1">
      <alignment horizontal="center" vertical="center" wrapText="1"/>
    </xf>
    <xf numFmtId="186" fontId="86" fillId="0" borderId="59" xfId="0" applyNumberFormat="1" applyFont="1" applyBorder="1" applyAlignment="1">
      <alignment horizontal="justify" vertical="center" wrapText="1"/>
    </xf>
    <xf numFmtId="186" fontId="85" fillId="0" borderId="59" xfId="0" applyNumberFormat="1" applyFont="1" applyBorder="1" applyAlignment="1">
      <alignment horizontal="center" vertical="center"/>
    </xf>
    <xf numFmtId="186" fontId="86" fillId="0" borderId="59" xfId="0" applyNumberFormat="1" applyFont="1" applyBorder="1" applyAlignment="1">
      <alignment horizontal="right" vertical="center"/>
    </xf>
    <xf numFmtId="49" fontId="85" fillId="0" borderId="59" xfId="0" applyNumberFormat="1" applyFont="1" applyBorder="1" applyAlignment="1">
      <alignment horizontal="center" vertical="center"/>
    </xf>
    <xf numFmtId="186" fontId="85" fillId="0" borderId="59" xfId="0" applyNumberFormat="1" applyFont="1" applyBorder="1" applyAlignment="1">
      <alignment horizontal="justify" vertical="center" wrapText="1"/>
    </xf>
    <xf numFmtId="186" fontId="85" fillId="0" borderId="59" xfId="0" applyNumberFormat="1" applyFont="1" applyBorder="1" applyAlignment="1">
      <alignment horizontal="right" vertical="center"/>
    </xf>
    <xf numFmtId="49" fontId="92" fillId="0" borderId="59" xfId="0" applyNumberFormat="1" applyFont="1" applyBorder="1" applyAlignment="1">
      <alignment horizontal="center" vertical="center"/>
    </xf>
    <xf numFmtId="0" fontId="127" fillId="0" borderId="59" xfId="0" applyFont="1" applyBorder="1" applyAlignment="1">
      <alignment horizontal="center" vertical="center" wrapText="1"/>
    </xf>
    <xf numFmtId="186" fontId="86" fillId="0" borderId="59" xfId="0" applyNumberFormat="1" applyFont="1" applyBorder="1" applyAlignment="1">
      <alignment horizontal="justify" vertical="center"/>
    </xf>
    <xf numFmtId="186" fontId="85" fillId="0" borderId="59" xfId="0" applyNumberFormat="1" applyFont="1" applyBorder="1" applyAlignment="1">
      <alignment horizontal="justify" vertical="center"/>
    </xf>
    <xf numFmtId="49" fontId="46" fillId="0" borderId="197" xfId="48" applyNumberFormat="1" applyFont="1" applyBorder="1" applyAlignment="1">
      <alignment horizontal="center" vertical="center" wrapText="1"/>
    </xf>
    <xf numFmtId="49" fontId="46" fillId="0" borderId="199" xfId="48" applyNumberFormat="1" applyFont="1" applyBorder="1" applyAlignment="1">
      <alignment horizontal="center" vertical="center" wrapText="1"/>
    </xf>
    <xf numFmtId="49" fontId="46" fillId="0" borderId="199" xfId="51" applyNumberFormat="1" applyFont="1" applyBorder="1" applyAlignment="1">
      <alignment horizontal="center" vertical="center" wrapText="1"/>
    </xf>
    <xf numFmtId="49" fontId="67" fillId="0" borderId="226" xfId="48" applyNumberFormat="1" applyFont="1" applyBorder="1" applyAlignment="1">
      <alignment horizontal="center" vertical="center" wrapText="1"/>
    </xf>
    <xf numFmtId="49" fontId="67" fillId="0" borderId="199" xfId="48" applyNumberFormat="1" applyFont="1" applyBorder="1" applyAlignment="1">
      <alignment horizontal="center" vertical="center" wrapText="1"/>
    </xf>
    <xf numFmtId="0" fontId="46" fillId="0" borderId="199" xfId="48" applyFont="1" applyBorder="1" applyAlignment="1">
      <alignment horizontal="center" vertical="center" wrapText="1"/>
    </xf>
    <xf numFmtId="0" fontId="86" fillId="0" borderId="59" xfId="0" applyFont="1" applyBorder="1" applyAlignment="1">
      <alignment horizontal="center" vertical="center"/>
    </xf>
    <xf numFmtId="0" fontId="86" fillId="0" borderId="59" xfId="0" applyFont="1" applyBorder="1" applyAlignment="1">
      <alignment horizontal="center" vertical="center" wrapText="1"/>
    </xf>
    <xf numFmtId="0" fontId="18" fillId="0" borderId="30" xfId="0" applyFont="1" applyBorder="1" applyAlignment="1">
      <alignment horizontal="center" vertical="center" wrapText="1"/>
    </xf>
    <xf numFmtId="0" fontId="21" fillId="0" borderId="13" xfId="0" applyFont="1" applyBorder="1" applyAlignment="1">
      <alignment horizontal="justify" vertical="center" wrapText="1"/>
    </xf>
    <xf numFmtId="0" fontId="20" fillId="0" borderId="17" xfId="2" applyFont="1" applyBorder="1" applyAlignment="1">
      <alignment horizontal="center" vertical="center"/>
    </xf>
    <xf numFmtId="10" fontId="27" fillId="0" borderId="0" xfId="16" applyNumberFormat="1" applyFont="1" applyAlignment="1">
      <alignment vertical="center"/>
    </xf>
    <xf numFmtId="10" fontId="27" fillId="0" borderId="0" xfId="0" applyNumberFormat="1" applyFont="1" applyAlignment="1">
      <alignment vertical="center"/>
    </xf>
    <xf numFmtId="49" fontId="46" fillId="0" borderId="197" xfId="51" applyNumberFormat="1" applyFont="1" applyBorder="1" applyAlignment="1">
      <alignment horizontal="center" vertical="center" wrapText="1"/>
    </xf>
    <xf numFmtId="0" fontId="20" fillId="0" borderId="17" xfId="0" applyFont="1" applyBorder="1" applyAlignment="1">
      <alignment horizontal="center" vertical="center"/>
    </xf>
    <xf numFmtId="195" fontId="63" fillId="21" borderId="30" xfId="16" applyNumberFormat="1" applyFont="1" applyFill="1" applyBorder="1" applyAlignment="1">
      <alignment horizontal="center" vertical="center" wrapText="1"/>
    </xf>
    <xf numFmtId="0" fontId="18" fillId="0" borderId="24" xfId="0" applyFont="1" applyBorder="1" applyAlignment="1">
      <alignment horizontal="center" vertical="center" wrapText="1"/>
    </xf>
    <xf numFmtId="175" fontId="19" fillId="0" borderId="31" xfId="25" applyFont="1" applyFill="1" applyBorder="1" applyAlignment="1" applyProtection="1">
      <alignment vertical="center"/>
    </xf>
    <xf numFmtId="165" fontId="53" fillId="0" borderId="0" xfId="26" applyFont="1"/>
    <xf numFmtId="175" fontId="19" fillId="32" borderId="34" xfId="25" applyFont="1" applyFill="1" applyBorder="1" applyAlignment="1" applyProtection="1">
      <alignment vertical="center"/>
    </xf>
    <xf numFmtId="0" fontId="27" fillId="10" borderId="22" xfId="0" applyFont="1" applyFill="1" applyBorder="1" applyAlignment="1">
      <alignment vertical="center"/>
    </xf>
    <xf numFmtId="0" fontId="27" fillId="10" borderId="43" xfId="0" applyFont="1" applyFill="1" applyBorder="1" applyAlignment="1">
      <alignment vertical="center"/>
    </xf>
    <xf numFmtId="0" fontId="27" fillId="10" borderId="44" xfId="0" applyFont="1" applyFill="1" applyBorder="1" applyAlignment="1">
      <alignment vertical="center"/>
    </xf>
    <xf numFmtId="0" fontId="27" fillId="10" borderId="29" xfId="0" applyFont="1" applyFill="1" applyBorder="1" applyAlignment="1">
      <alignment vertical="center"/>
    </xf>
    <xf numFmtId="0" fontId="129" fillId="0" borderId="0" xfId="0" applyFont="1" applyAlignment="1">
      <alignment vertical="center"/>
    </xf>
    <xf numFmtId="0" fontId="128" fillId="0" borderId="0" xfId="0" applyFont="1" applyAlignment="1">
      <alignment vertical="center"/>
    </xf>
    <xf numFmtId="10" fontId="18" fillId="8" borderId="30" xfId="16" applyNumberFormat="1" applyFont="1" applyFill="1" applyBorder="1" applyAlignment="1">
      <alignment horizontal="center" vertical="center" wrapText="1"/>
    </xf>
    <xf numFmtId="49" fontId="27" fillId="0" borderId="30" xfId="26" applyNumberFormat="1"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0" xfId="0" applyFont="1" applyFill="1" applyBorder="1" applyAlignment="1">
      <alignment horizontal="center" vertical="center"/>
    </xf>
    <xf numFmtId="169" fontId="10" fillId="10" borderId="0" xfId="0" applyNumberFormat="1" applyFont="1" applyFill="1" applyAlignment="1">
      <alignment vertical="center" wrapText="1"/>
    </xf>
    <xf numFmtId="175" fontId="67" fillId="0" borderId="0" xfId="46" applyFont="1" applyFill="1" applyBorder="1" applyAlignment="1" applyProtection="1">
      <alignment vertical="top"/>
    </xf>
    <xf numFmtId="0" fontId="72" fillId="0" borderId="0" xfId="48" applyFont="1" applyAlignment="1">
      <alignment vertical="top" wrapText="1"/>
    </xf>
    <xf numFmtId="0" fontId="72" fillId="0" borderId="0" xfId="48" applyFont="1" applyAlignment="1">
      <alignment horizontal="center" vertical="top" wrapText="1"/>
    </xf>
    <xf numFmtId="0" fontId="6" fillId="0" borderId="0" xfId="48" applyFont="1" applyAlignment="1">
      <alignment horizontal="right" vertical="top" wrapText="1"/>
    </xf>
    <xf numFmtId="0" fontId="6" fillId="0" borderId="22" xfId="48" applyFont="1" applyBorder="1" applyAlignment="1">
      <alignment vertical="top" wrapText="1"/>
    </xf>
    <xf numFmtId="0" fontId="72" fillId="0" borderId="43" xfId="48" applyFont="1" applyBorder="1" applyAlignment="1">
      <alignment vertical="top" wrapText="1"/>
    </xf>
    <xf numFmtId="0" fontId="72" fillId="0" borderId="43" xfId="48" applyFont="1" applyBorder="1" applyAlignment="1">
      <alignment horizontal="center" vertical="top" wrapText="1"/>
    </xf>
    <xf numFmtId="0" fontId="6" fillId="0" borderId="43" xfId="48" applyFont="1" applyBorder="1" applyAlignment="1">
      <alignment horizontal="right" vertical="top" wrapText="1"/>
    </xf>
    <xf numFmtId="14" fontId="72" fillId="0" borderId="44" xfId="48" applyNumberFormat="1" applyFont="1" applyBorder="1" applyAlignment="1">
      <alignment horizontal="center" vertical="top" wrapText="1"/>
    </xf>
    <xf numFmtId="0" fontId="6" fillId="0" borderId="41" xfId="48" applyFont="1" applyBorder="1"/>
    <xf numFmtId="0" fontId="72" fillId="0" borderId="42" xfId="48" applyFont="1" applyBorder="1"/>
    <xf numFmtId="0" fontId="67" fillId="0" borderId="42" xfId="48" applyFont="1" applyBorder="1" applyAlignment="1">
      <alignment horizontal="center"/>
    </xf>
    <xf numFmtId="0" fontId="2" fillId="0" borderId="42" xfId="34" applyFont="1" applyBorder="1" applyAlignment="1">
      <alignment horizontal="right" vertical="center" wrapText="1"/>
    </xf>
    <xf numFmtId="10" fontId="67" fillId="0" borderId="63" xfId="16" applyNumberFormat="1" applyFont="1" applyBorder="1" applyAlignment="1">
      <alignment horizontal="center" vertical="center" wrapText="1"/>
    </xf>
    <xf numFmtId="175" fontId="72" fillId="0" borderId="35" xfId="46" applyFont="1" applyFill="1" applyBorder="1" applyAlignment="1" applyProtection="1">
      <alignment vertical="top"/>
    </xf>
    <xf numFmtId="0" fontId="6" fillId="0" borderId="22" xfId="48" applyFont="1" applyBorder="1"/>
    <xf numFmtId="0" fontId="72" fillId="0" borderId="43" xfId="48" applyFont="1" applyBorder="1"/>
    <xf numFmtId="0" fontId="67" fillId="0" borderId="43" xfId="48" applyFont="1" applyBorder="1" applyAlignment="1">
      <alignment horizontal="center"/>
    </xf>
    <xf numFmtId="0" fontId="2" fillId="0" borderId="43" xfId="34" applyFont="1" applyBorder="1" applyAlignment="1">
      <alignment horizontal="right" vertical="center" wrapText="1"/>
    </xf>
    <xf numFmtId="10" fontId="67" fillId="0" borderId="44" xfId="16" applyNumberFormat="1" applyFont="1" applyBorder="1" applyAlignment="1">
      <alignment horizontal="center" vertical="center" wrapText="1"/>
    </xf>
    <xf numFmtId="0" fontId="6" fillId="0" borderId="35" xfId="48" applyFont="1" applyBorder="1" applyAlignment="1">
      <alignment vertical="top" wrapText="1"/>
    </xf>
    <xf numFmtId="14" fontId="72" fillId="0" borderId="29" xfId="48" applyNumberFormat="1" applyFont="1" applyBorder="1" applyAlignment="1">
      <alignment horizontal="center" vertical="top" wrapText="1"/>
    </xf>
    <xf numFmtId="0" fontId="6" fillId="0" borderId="35" xfId="48" applyFont="1" applyBorder="1"/>
    <xf numFmtId="10" fontId="67" fillId="0" borderId="29" xfId="16" applyNumberFormat="1" applyFont="1" applyBorder="1" applyAlignment="1">
      <alignment horizontal="center" vertical="center" wrapText="1"/>
    </xf>
    <xf numFmtId="0" fontId="6" fillId="0" borderId="35" xfId="51" applyFont="1" applyBorder="1"/>
    <xf numFmtId="175" fontId="72" fillId="0" borderId="35" xfId="46" applyFont="1" applyFill="1" applyBorder="1" applyAlignment="1" applyProtection="1">
      <alignment vertical="top" wrapText="1"/>
    </xf>
    <xf numFmtId="175" fontId="72" fillId="0" borderId="41" xfId="46" applyFont="1" applyFill="1" applyBorder="1" applyAlignment="1" applyProtection="1">
      <alignment vertical="top" wrapText="1"/>
    </xf>
    <xf numFmtId="0" fontId="69" fillId="0" borderId="0" xfId="4" applyFont="1" applyAlignment="1">
      <alignment horizontal="center" vertical="center" wrapText="1"/>
    </xf>
    <xf numFmtId="4" fontId="72" fillId="0" borderId="15" xfId="4" applyNumberFormat="1" applyFont="1" applyBorder="1" applyAlignment="1">
      <alignment horizontal="center" vertical="center" wrapText="1" shrinkToFit="1"/>
    </xf>
    <xf numFmtId="4" fontId="72" fillId="0" borderId="15" xfId="4" applyNumberFormat="1" applyFont="1" applyBorder="1" applyAlignment="1">
      <alignment vertical="center" shrinkToFit="1"/>
    </xf>
    <xf numFmtId="4" fontId="72" fillId="0" borderId="15" xfId="4" applyNumberFormat="1" applyFont="1" applyBorder="1" applyAlignment="1">
      <alignment horizontal="center" vertical="center" shrinkToFit="1"/>
    </xf>
    <xf numFmtId="0" fontId="69" fillId="0" borderId="64" xfId="4" applyFont="1" applyBorder="1" applyAlignment="1">
      <alignment horizontal="center" vertical="center" wrapText="1"/>
    </xf>
    <xf numFmtId="0" fontId="71" fillId="0" borderId="22" xfId="4" applyFont="1" applyBorder="1"/>
    <xf numFmtId="0" fontId="71" fillId="0" borderId="43" xfId="4" applyFont="1" applyBorder="1"/>
    <xf numFmtId="0" fontId="71" fillId="0" borderId="44" xfId="4" applyFont="1" applyBorder="1"/>
    <xf numFmtId="0" fontId="69" fillId="0" borderId="35" xfId="4" applyFont="1" applyBorder="1" applyAlignment="1">
      <alignment horizontal="center" vertical="center" wrapText="1"/>
    </xf>
    <xf numFmtId="0" fontId="69" fillId="0" borderId="29" xfId="4" applyFont="1" applyBorder="1" applyAlignment="1">
      <alignment horizontal="center" vertical="center" wrapText="1"/>
    </xf>
    <xf numFmtId="0" fontId="69" fillId="0" borderId="41" xfId="4" applyFont="1" applyBorder="1" applyAlignment="1">
      <alignment vertical="center"/>
    </xf>
    <xf numFmtId="0" fontId="71" fillId="0" borderId="42" xfId="4" applyFont="1" applyBorder="1" applyAlignment="1">
      <alignment vertical="center"/>
    </xf>
    <xf numFmtId="0" fontId="71" fillId="0" borderId="63" xfId="4" applyFont="1" applyBorder="1" applyAlignment="1">
      <alignment vertical="center"/>
    </xf>
    <xf numFmtId="4" fontId="37" fillId="0" borderId="50" xfId="5" applyNumberFormat="1" applyFont="1" applyBorder="1" applyAlignment="1">
      <alignment horizontal="center" vertical="center"/>
    </xf>
    <xf numFmtId="4" fontId="30" fillId="0" borderId="0" xfId="5" applyNumberFormat="1" applyFont="1" applyAlignment="1">
      <alignment horizontal="center" vertical="center"/>
    </xf>
    <xf numFmtId="10" fontId="11" fillId="0" borderId="40" xfId="17" applyNumberFormat="1" applyFont="1" applyFill="1" applyBorder="1" applyAlignment="1" applyProtection="1">
      <alignment horizontal="right" vertical="center"/>
    </xf>
    <xf numFmtId="176" fontId="11" fillId="0" borderId="40" xfId="25" applyNumberFormat="1" applyFont="1" applyFill="1" applyBorder="1" applyAlignment="1" applyProtection="1">
      <alignment horizontal="right" vertical="center"/>
    </xf>
    <xf numFmtId="4" fontId="72" fillId="0" borderId="14" xfId="4" applyNumberFormat="1" applyFont="1" applyBorder="1" applyAlignment="1">
      <alignment horizontal="center" vertical="center" wrapText="1" shrinkToFit="1"/>
    </xf>
    <xf numFmtId="0" fontId="69" fillId="0" borderId="95" xfId="4" applyFont="1" applyBorder="1" applyAlignment="1">
      <alignment horizontal="center" vertical="center" wrapText="1"/>
    </xf>
    <xf numFmtId="4" fontId="6" fillId="25" borderId="262" xfId="4" applyNumberFormat="1" applyFont="1" applyFill="1" applyBorder="1" applyAlignment="1">
      <alignment horizontal="right" vertical="center" shrinkToFit="1"/>
    </xf>
    <xf numFmtId="4" fontId="6" fillId="25" borderId="263" xfId="4" applyNumberFormat="1" applyFont="1" applyFill="1" applyBorder="1" applyAlignment="1">
      <alignment horizontal="right" vertical="center" shrinkToFit="1"/>
    </xf>
    <xf numFmtId="0" fontId="72" fillId="0" borderId="134" xfId="4" applyFont="1" applyBorder="1" applyAlignment="1">
      <alignment horizontal="center" vertical="center" shrinkToFit="1"/>
    </xf>
    <xf numFmtId="4" fontId="6" fillId="0" borderId="136" xfId="4" applyNumberFormat="1" applyFont="1" applyBorder="1" applyAlignment="1">
      <alignment horizontal="right" vertical="center" shrinkToFit="1"/>
    </xf>
    <xf numFmtId="0" fontId="6" fillId="0" borderId="134" xfId="4" applyFont="1" applyBorder="1" applyAlignment="1">
      <alignment horizontal="center" vertical="center" shrinkToFit="1"/>
    </xf>
    <xf numFmtId="4" fontId="6" fillId="25" borderId="123" xfId="4" applyNumberFormat="1" applyFont="1" applyFill="1" applyBorder="1" applyAlignment="1">
      <alignment horizontal="right" vertical="center" shrinkToFit="1"/>
    </xf>
    <xf numFmtId="4" fontId="6" fillId="25" borderId="136" xfId="4" applyNumberFormat="1" applyFont="1" applyFill="1" applyBorder="1" applyAlignment="1">
      <alignment horizontal="right" vertical="center" shrinkToFit="1"/>
    </xf>
    <xf numFmtId="0" fontId="72" fillId="0" borderId="134" xfId="4" applyFont="1" applyBorder="1" applyAlignment="1">
      <alignment horizontal="center" vertical="center" wrapText="1"/>
    </xf>
    <xf numFmtId="0" fontId="72" fillId="0" borderId="264" xfId="4" applyFont="1" applyBorder="1" applyAlignment="1">
      <alignment horizontal="center" vertical="center" shrinkToFit="1"/>
    </xf>
    <xf numFmtId="0" fontId="69" fillId="0" borderId="62" xfId="4" applyFont="1" applyBorder="1"/>
    <xf numFmtId="0" fontId="69" fillId="0" borderId="83" xfId="4" applyFont="1" applyBorder="1" applyAlignment="1">
      <alignment vertical="center"/>
    </xf>
    <xf numFmtId="0" fontId="69" fillId="0" borderId="83" xfId="4" applyFont="1" applyBorder="1"/>
    <xf numFmtId="0" fontId="69" fillId="0" borderId="60" xfId="4" applyFont="1" applyBorder="1"/>
    <xf numFmtId="4" fontId="72" fillId="0" borderId="33" xfId="4" applyNumberFormat="1" applyFont="1" applyBorder="1" applyAlignment="1">
      <alignment horizontal="right" vertical="center" shrinkToFit="1"/>
    </xf>
    <xf numFmtId="4" fontId="72" fillId="0" borderId="34" xfId="4" applyNumberFormat="1" applyFont="1" applyBorder="1" applyAlignment="1">
      <alignment horizontal="right" vertical="center" shrinkToFit="1"/>
    </xf>
    <xf numFmtId="0" fontId="131" fillId="21" borderId="70" xfId="5" applyFont="1" applyFill="1" applyBorder="1" applyAlignment="1">
      <alignment horizontal="center" vertical="center"/>
    </xf>
    <xf numFmtId="0" fontId="131" fillId="0" borderId="35" xfId="5" applyFont="1" applyBorder="1" applyAlignment="1">
      <alignment horizontal="center" vertical="center" wrapText="1"/>
    </xf>
    <xf numFmtId="0" fontId="131" fillId="0" borderId="0" xfId="5" applyFont="1" applyAlignment="1">
      <alignment horizontal="center" vertical="center" wrapText="1"/>
    </xf>
    <xf numFmtId="0" fontId="131" fillId="21" borderId="71" xfId="5" applyFont="1" applyFill="1" applyBorder="1" applyAlignment="1">
      <alignment horizontal="center" vertical="center"/>
    </xf>
    <xf numFmtId="0" fontId="131" fillId="21" borderId="30" xfId="5" applyFont="1" applyFill="1" applyBorder="1" applyAlignment="1">
      <alignment horizontal="center" vertical="center"/>
    </xf>
    <xf numFmtId="165" fontId="131" fillId="21" borderId="30" xfId="21" applyNumberFormat="1" applyFont="1" applyFill="1" applyBorder="1" applyAlignment="1">
      <alignment horizontal="center" vertical="center" wrapText="1"/>
    </xf>
    <xf numFmtId="165" fontId="131" fillId="21" borderId="39" xfId="21" applyNumberFormat="1" applyFont="1" applyFill="1" applyBorder="1" applyAlignment="1">
      <alignment horizontal="center" vertical="center" wrapText="1"/>
    </xf>
    <xf numFmtId="165" fontId="131" fillId="21" borderId="31" xfId="21" applyNumberFormat="1" applyFont="1" applyFill="1" applyBorder="1" applyAlignment="1">
      <alignment horizontal="center" vertical="center" wrapText="1"/>
    </xf>
    <xf numFmtId="165" fontId="132" fillId="21" borderId="30" xfId="21" applyNumberFormat="1" applyFont="1" applyFill="1" applyBorder="1" applyAlignment="1">
      <alignment horizontal="center" vertical="center" wrapText="1"/>
    </xf>
    <xf numFmtId="2" fontId="131" fillId="21" borderId="30" xfId="5" applyNumberFormat="1" applyFont="1" applyFill="1" applyBorder="1" applyAlignment="1">
      <alignment horizontal="center" vertical="center"/>
    </xf>
    <xf numFmtId="165" fontId="132" fillId="21" borderId="39" xfId="21" applyNumberFormat="1" applyFont="1" applyFill="1" applyBorder="1" applyAlignment="1">
      <alignment horizontal="center" vertical="center" wrapText="1"/>
    </xf>
    <xf numFmtId="165" fontId="132" fillId="21" borderId="31" xfId="21" applyNumberFormat="1" applyFont="1" applyFill="1" applyBorder="1" applyAlignment="1">
      <alignment horizontal="center" vertical="center" wrapText="1"/>
    </xf>
    <xf numFmtId="2" fontId="131" fillId="21" borderId="39" xfId="5" applyNumberFormat="1" applyFont="1" applyFill="1" applyBorder="1" applyAlignment="1">
      <alignment horizontal="center" vertical="center"/>
    </xf>
    <xf numFmtId="2" fontId="131" fillId="21" borderId="31" xfId="5" applyNumberFormat="1" applyFont="1" applyFill="1" applyBorder="1" applyAlignment="1">
      <alignment horizontal="center" vertical="center"/>
    </xf>
    <xf numFmtId="0" fontId="131" fillId="0" borderId="66" xfId="5" applyFont="1" applyBorder="1" applyAlignment="1">
      <alignment horizontal="center" vertical="center"/>
    </xf>
    <xf numFmtId="0" fontId="131" fillId="0" borderId="67" xfId="5" applyFont="1" applyBorder="1" applyAlignment="1">
      <alignment horizontal="center" vertical="center"/>
    </xf>
    <xf numFmtId="0" fontId="131" fillId="21" borderId="66" xfId="5" applyFont="1" applyFill="1" applyBorder="1" applyAlignment="1">
      <alignment horizontal="center" vertical="center"/>
    </xf>
    <xf numFmtId="0" fontId="131" fillId="21" borderId="67" xfId="5" applyFont="1" applyFill="1" applyBorder="1" applyAlignment="1">
      <alignment horizontal="center" vertical="center"/>
    </xf>
    <xf numFmtId="0" fontId="131" fillId="21" borderId="72" xfId="5" applyFont="1" applyFill="1" applyBorder="1" applyAlignment="1">
      <alignment horizontal="center" vertical="center"/>
    </xf>
    <xf numFmtId="0" fontId="85" fillId="0" borderId="48" xfId="38" applyFont="1" applyBorder="1" applyAlignment="1">
      <alignment horizontal="left"/>
    </xf>
    <xf numFmtId="0" fontId="85" fillId="0" borderId="0" xfId="38" applyFont="1" applyAlignment="1">
      <alignment horizontal="left"/>
    </xf>
    <xf numFmtId="0" fontId="86" fillId="0" borderId="0" xfId="38" applyFont="1" applyAlignment="1">
      <alignment horizontal="left"/>
    </xf>
    <xf numFmtId="0" fontId="85" fillId="0" borderId="0" xfId="38" applyFont="1" applyAlignment="1">
      <alignment horizontal="center"/>
    </xf>
    <xf numFmtId="0" fontId="86" fillId="0" borderId="0" xfId="38" applyFont="1" applyAlignment="1">
      <alignment horizontal="center"/>
    </xf>
    <xf numFmtId="2" fontId="85" fillId="0" borderId="0" xfId="38" applyNumberFormat="1" applyFont="1"/>
    <xf numFmtId="2" fontId="85" fillId="0" borderId="98" xfId="38" applyNumberFormat="1" applyFont="1" applyBorder="1"/>
    <xf numFmtId="2" fontId="90" fillId="4" borderId="261" xfId="38" applyNumberFormat="1" applyFont="1" applyFill="1" applyBorder="1" applyAlignment="1">
      <alignment horizontal="center" vertical="center" wrapText="1"/>
    </xf>
    <xf numFmtId="2" fontId="90" fillId="2" borderId="265" xfId="38" applyNumberFormat="1" applyFont="1" applyFill="1" applyBorder="1" applyAlignment="1">
      <alignment horizontal="center" vertical="center" wrapText="1"/>
    </xf>
    <xf numFmtId="2" fontId="97" fillId="0" borderId="260" xfId="38" applyNumberFormat="1" applyFont="1" applyBorder="1" applyAlignment="1">
      <alignment horizontal="center" vertical="center"/>
    </xf>
    <xf numFmtId="165" fontId="90" fillId="29" borderId="266" xfId="40" applyFont="1" applyFill="1" applyBorder="1" applyAlignment="1">
      <alignment horizontal="center" vertical="center"/>
    </xf>
    <xf numFmtId="165" fontId="97" fillId="0" borderId="0" xfId="26" applyFont="1" applyBorder="1"/>
    <xf numFmtId="43" fontId="2" fillId="0" borderId="0" xfId="38" applyNumberFormat="1"/>
    <xf numFmtId="0" fontId="18" fillId="0" borderId="23" xfId="0" applyFont="1" applyBorder="1" applyAlignment="1">
      <alignment horizontal="right" vertical="center" wrapText="1"/>
    </xf>
    <xf numFmtId="0" fontId="18" fillId="0" borderId="51" xfId="0" applyFont="1" applyBorder="1" applyAlignment="1">
      <alignment horizontal="right" vertical="center" wrapText="1"/>
    </xf>
    <xf numFmtId="0" fontId="18" fillId="0" borderId="52" xfId="0" applyFont="1" applyBorder="1" applyAlignment="1">
      <alignment horizontal="right" vertical="center" wrapText="1"/>
    </xf>
    <xf numFmtId="0" fontId="18" fillId="8" borderId="45"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8" borderId="31" xfId="0" applyFont="1" applyFill="1" applyBorder="1" applyAlignment="1">
      <alignment horizontal="center" vertical="center" wrapText="1"/>
    </xf>
    <xf numFmtId="165" fontId="10" fillId="0" borderId="73" xfId="12" applyNumberFormat="1" applyFont="1" applyBorder="1" applyAlignment="1">
      <alignment horizontal="center" vertical="center" wrapText="1"/>
    </xf>
    <xf numFmtId="165" fontId="10" fillId="0" borderId="84" xfId="12" applyNumberFormat="1" applyFont="1" applyBorder="1" applyAlignment="1">
      <alignment horizontal="center" vertical="center" wrapText="1"/>
    </xf>
    <xf numFmtId="165" fontId="10" fillId="0" borderId="85" xfId="12" applyNumberFormat="1" applyFont="1" applyBorder="1" applyAlignment="1">
      <alignment horizontal="center" vertical="center" wrapText="1"/>
    </xf>
    <xf numFmtId="2" fontId="18" fillId="0" borderId="0" xfId="0" applyNumberFormat="1" applyFont="1" applyAlignment="1">
      <alignment vertical="center"/>
    </xf>
    <xf numFmtId="0" fontId="18" fillId="20" borderId="0" xfId="0" applyFont="1" applyFill="1" applyAlignment="1">
      <alignment horizontal="center" vertical="center" wrapText="1"/>
    </xf>
    <xf numFmtId="0" fontId="18" fillId="8" borderId="37" xfId="0" applyFont="1" applyFill="1" applyBorder="1" applyAlignment="1">
      <alignment horizontal="center" vertical="center" wrapText="1"/>
    </xf>
    <xf numFmtId="0" fontId="18" fillId="8" borderId="40" xfId="0" applyFont="1" applyFill="1" applyBorder="1" applyAlignment="1">
      <alignment horizontal="center" vertical="center" wrapText="1"/>
    </xf>
    <xf numFmtId="0" fontId="18" fillId="8" borderId="36" xfId="0" applyFont="1" applyFill="1" applyBorder="1" applyAlignment="1">
      <alignment horizontal="right" vertical="center" wrapText="1"/>
    </xf>
    <xf numFmtId="0" fontId="18" fillId="8" borderId="37" xfId="0" applyFont="1" applyFill="1" applyBorder="1" applyAlignment="1">
      <alignment horizontal="right" vertical="center" wrapText="1"/>
    </xf>
    <xf numFmtId="0" fontId="18" fillId="8" borderId="38" xfId="0" applyFont="1" applyFill="1" applyBorder="1" applyAlignment="1">
      <alignment horizontal="right" vertical="center" wrapText="1"/>
    </xf>
    <xf numFmtId="0" fontId="27" fillId="0" borderId="0" xfId="0" applyFont="1" applyAlignment="1">
      <alignment horizontal="center" vertical="center"/>
    </xf>
    <xf numFmtId="165" fontId="10" fillId="18" borderId="41" xfId="12" applyNumberFormat="1" applyFont="1" applyFill="1" applyBorder="1" applyAlignment="1">
      <alignment horizontal="right" vertical="center" wrapText="1"/>
    </xf>
    <xf numFmtId="165" fontId="10" fillId="18" borderId="42" xfId="12" applyNumberFormat="1" applyFont="1" applyFill="1" applyBorder="1" applyAlignment="1">
      <alignment horizontal="right" vertical="center" wrapText="1"/>
    </xf>
    <xf numFmtId="165" fontId="10" fillId="18" borderId="82" xfId="12" applyNumberFormat="1" applyFont="1" applyFill="1" applyBorder="1" applyAlignment="1">
      <alignment horizontal="right" vertical="center" wrapText="1"/>
    </xf>
    <xf numFmtId="0" fontId="18" fillId="8" borderId="62" xfId="0" applyFont="1" applyFill="1" applyBorder="1" applyAlignment="1">
      <alignment horizontal="right" vertical="center" wrapText="1"/>
    </xf>
    <xf numFmtId="0" fontId="18" fillId="8" borderId="83" xfId="0" applyFont="1" applyFill="1" applyBorder="1" applyAlignment="1">
      <alignment horizontal="right" vertical="center" wrapText="1"/>
    </xf>
    <xf numFmtId="0" fontId="18" fillId="8" borderId="60" xfId="0" applyFont="1" applyFill="1" applyBorder="1" applyAlignment="1">
      <alignment horizontal="right" vertical="center" wrapText="1"/>
    </xf>
    <xf numFmtId="165" fontId="130" fillId="33" borderId="78" xfId="12" applyNumberFormat="1" applyFont="1" applyFill="1" applyBorder="1" applyAlignment="1">
      <alignment horizontal="center" vertical="center" wrapText="1"/>
    </xf>
    <xf numFmtId="165" fontId="130" fillId="33" borderId="79" xfId="12" applyNumberFormat="1" applyFont="1" applyFill="1" applyBorder="1" applyAlignment="1">
      <alignment horizontal="center" vertical="center" wrapText="1"/>
    </xf>
    <xf numFmtId="165" fontId="130" fillId="33" borderId="80" xfId="12" applyNumberFormat="1" applyFont="1" applyFill="1" applyBorder="1" applyAlignment="1">
      <alignment horizontal="center" vertical="center" wrapText="1"/>
    </xf>
    <xf numFmtId="0" fontId="18" fillId="8" borderId="36" xfId="0" applyFont="1" applyFill="1" applyBorder="1" applyAlignment="1">
      <alignment horizontal="right" vertical="center"/>
    </xf>
    <xf numFmtId="0" fontId="18" fillId="8" borderId="37" xfId="0" applyFont="1" applyFill="1" applyBorder="1" applyAlignment="1">
      <alignment horizontal="right" vertical="center"/>
    </xf>
    <xf numFmtId="0" fontId="18" fillId="8" borderId="38" xfId="0" applyFont="1" applyFill="1" applyBorder="1" applyAlignment="1">
      <alignment horizontal="right" vertical="center"/>
    </xf>
    <xf numFmtId="0" fontId="18" fillId="8" borderId="37" xfId="0" applyFont="1" applyFill="1" applyBorder="1" applyAlignment="1">
      <alignment horizontal="center" vertical="center"/>
    </xf>
    <xf numFmtId="0" fontId="18" fillId="8" borderId="40" xfId="0" applyFont="1" applyFill="1" applyBorder="1" applyAlignment="1">
      <alignment horizontal="center" vertical="center"/>
    </xf>
    <xf numFmtId="0" fontId="18" fillId="8" borderId="25"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27" fillId="10" borderId="35" xfId="0" applyFont="1" applyFill="1" applyBorder="1" applyAlignment="1">
      <alignment horizontal="left" vertical="center" wrapText="1"/>
    </xf>
    <xf numFmtId="0" fontId="27" fillId="10" borderId="0" xfId="0" applyFont="1" applyFill="1" applyAlignment="1">
      <alignment horizontal="left" vertical="center" wrapText="1"/>
    </xf>
    <xf numFmtId="0" fontId="27" fillId="10" borderId="29" xfId="0" applyFont="1" applyFill="1" applyBorder="1" applyAlignment="1">
      <alignment horizontal="left" vertical="center" wrapText="1"/>
    </xf>
    <xf numFmtId="0" fontId="18" fillId="10" borderId="0" xfId="0" applyFont="1" applyFill="1" applyAlignment="1">
      <alignment horizontal="center" vertical="center" wrapText="1"/>
    </xf>
    <xf numFmtId="0" fontId="18" fillId="10" borderId="29" xfId="0" applyFont="1" applyFill="1" applyBorder="1" applyAlignment="1">
      <alignment horizontal="center" vertical="center" wrapText="1"/>
    </xf>
    <xf numFmtId="0" fontId="18" fillId="10" borderId="35" xfId="0" applyFont="1" applyFill="1" applyBorder="1" applyAlignment="1">
      <alignment horizontal="center" vertical="center" wrapText="1"/>
    </xf>
    <xf numFmtId="0" fontId="27" fillId="10" borderId="35" xfId="0" applyFont="1" applyFill="1" applyBorder="1" applyAlignment="1">
      <alignment horizontal="center" vertical="center" wrapText="1"/>
    </xf>
    <xf numFmtId="0" fontId="27" fillId="10" borderId="0" xfId="0" applyFont="1" applyFill="1" applyAlignment="1">
      <alignment horizontal="center" vertical="center" wrapText="1"/>
    </xf>
    <xf numFmtId="0" fontId="10" fillId="10" borderId="0" xfId="0" applyFont="1" applyFill="1" applyAlignment="1">
      <alignment horizontal="center" vertical="center" wrapText="1"/>
    </xf>
    <xf numFmtId="0" fontId="10" fillId="10" borderId="29" xfId="0" applyFont="1" applyFill="1" applyBorder="1" applyAlignment="1">
      <alignment horizontal="center" vertical="center" wrapText="1"/>
    </xf>
    <xf numFmtId="0" fontId="18" fillId="10" borderId="35" xfId="0" applyFont="1" applyFill="1" applyBorder="1" applyAlignment="1">
      <alignment horizontal="left" vertical="center" wrapText="1"/>
    </xf>
    <xf numFmtId="0" fontId="18" fillId="10" borderId="0" xfId="0" applyFont="1" applyFill="1" applyAlignment="1">
      <alignment horizontal="left" vertical="center" wrapText="1"/>
    </xf>
    <xf numFmtId="0" fontId="29" fillId="24" borderId="39" xfId="0" applyFont="1" applyFill="1" applyBorder="1" applyAlignment="1">
      <alignment horizontal="center" vertical="center"/>
    </xf>
    <xf numFmtId="0" fontId="29" fillId="24" borderId="37" xfId="0" applyFont="1" applyFill="1" applyBorder="1" applyAlignment="1">
      <alignment horizontal="center" vertical="center"/>
    </xf>
    <xf numFmtId="0" fontId="29" fillId="24" borderId="38" xfId="0" applyFont="1" applyFill="1" applyBorder="1" applyAlignment="1">
      <alignment horizontal="center"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2" fontId="30" fillId="0" borderId="39" xfId="0" applyNumberFormat="1" applyFont="1" applyBorder="1" applyAlignment="1">
      <alignment horizontal="center" vertical="center" wrapText="1"/>
    </xf>
    <xf numFmtId="2" fontId="30" fillId="0" borderId="37" xfId="0" applyNumberFormat="1" applyFont="1" applyBorder="1" applyAlignment="1">
      <alignment horizontal="center" vertical="center" wrapText="1"/>
    </xf>
    <xf numFmtId="2" fontId="30" fillId="0" borderId="38" xfId="0" applyNumberFormat="1" applyFont="1" applyBorder="1" applyAlignment="1">
      <alignment horizontal="center" vertical="center" wrapText="1"/>
    </xf>
    <xf numFmtId="0" fontId="30" fillId="0" borderId="39"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xf>
    <xf numFmtId="0" fontId="30" fillId="0" borderId="37" xfId="0" applyFont="1" applyBorder="1" applyAlignment="1">
      <alignment horizontal="center" vertical="center"/>
    </xf>
    <xf numFmtId="0" fontId="30" fillId="0" borderId="38" xfId="0" applyFont="1" applyBorder="1" applyAlignment="1">
      <alignment horizontal="center" vertical="center"/>
    </xf>
    <xf numFmtId="0" fontId="29" fillId="21" borderId="87" xfId="0" applyFont="1" applyFill="1" applyBorder="1" applyAlignment="1">
      <alignment horizontal="center" vertical="center" wrapText="1"/>
    </xf>
    <xf numFmtId="0" fontId="29" fillId="21" borderId="59" xfId="0" applyFont="1" applyFill="1" applyBorder="1" applyAlignment="1">
      <alignment horizontal="center" vertical="center" wrapText="1"/>
    </xf>
    <xf numFmtId="0" fontId="29" fillId="21" borderId="15" xfId="0" applyFont="1" applyFill="1" applyBorder="1" applyAlignment="1">
      <alignment horizontal="center" vertical="center" wrapText="1"/>
    </xf>
    <xf numFmtId="0" fontId="29" fillId="21" borderId="87" xfId="0" applyFont="1" applyFill="1" applyBorder="1" applyAlignment="1">
      <alignment horizontal="center" vertical="center"/>
    </xf>
    <xf numFmtId="0" fontId="29" fillId="21" borderId="15" xfId="0" applyFont="1" applyFill="1" applyBorder="1" applyAlignment="1">
      <alignment horizontal="center" vertical="center"/>
    </xf>
    <xf numFmtId="0" fontId="29" fillId="21" borderId="22" xfId="0" applyFont="1" applyFill="1" applyBorder="1" applyAlignment="1">
      <alignment horizontal="center" vertical="center"/>
    </xf>
    <xf numFmtId="0" fontId="29" fillId="21" borderId="43" xfId="0" applyFont="1" applyFill="1" applyBorder="1" applyAlignment="1">
      <alignment horizontal="center" vertical="center"/>
    </xf>
    <xf numFmtId="0" fontId="29" fillId="21" borderId="44" xfId="0" applyFont="1" applyFill="1" applyBorder="1" applyAlignment="1">
      <alignment horizontal="center" vertical="center"/>
    </xf>
    <xf numFmtId="0" fontId="29" fillId="21" borderId="57" xfId="0" applyFont="1" applyFill="1" applyBorder="1" applyAlignment="1">
      <alignment horizontal="center" vertical="center" wrapText="1"/>
    </xf>
    <xf numFmtId="0" fontId="29" fillId="21" borderId="30" xfId="0" applyFont="1" applyFill="1" applyBorder="1" applyAlignment="1">
      <alignment horizontal="center" vertical="center" wrapText="1"/>
    </xf>
    <xf numFmtId="0" fontId="29" fillId="0" borderId="86" xfId="0" applyFont="1" applyBorder="1" applyAlignment="1">
      <alignment horizontal="center" vertical="center"/>
    </xf>
    <xf numFmtId="0" fontId="29" fillId="0" borderId="20" xfId="0" applyFont="1" applyBorder="1" applyAlignment="1">
      <alignment horizontal="center" vertical="center"/>
    </xf>
    <xf numFmtId="0" fontId="31" fillId="21" borderId="92" xfId="0" applyFont="1" applyFill="1" applyBorder="1" applyAlignment="1">
      <alignment horizontal="center" vertical="center"/>
    </xf>
    <xf numFmtId="0" fontId="31" fillId="21" borderId="24" xfId="0" applyFont="1" applyFill="1" applyBorder="1" applyAlignment="1">
      <alignment horizontal="center" vertical="center"/>
    </xf>
    <xf numFmtId="0" fontId="31" fillId="21" borderId="32" xfId="0" applyFont="1" applyFill="1" applyBorder="1" applyAlignment="1">
      <alignment horizontal="center" vertical="center"/>
    </xf>
    <xf numFmtId="0" fontId="31" fillId="21" borderId="57" xfId="0" applyFont="1" applyFill="1" applyBorder="1" applyAlignment="1">
      <alignment horizontal="center" vertical="center"/>
    </xf>
    <xf numFmtId="0" fontId="31" fillId="21" borderId="30" xfId="0" applyFont="1" applyFill="1" applyBorder="1" applyAlignment="1">
      <alignment horizontal="center" vertical="center"/>
    </xf>
    <xf numFmtId="0" fontId="31" fillId="21" borderId="33" xfId="0" applyFont="1" applyFill="1" applyBorder="1" applyAlignment="1">
      <alignment horizontal="center" vertical="center"/>
    </xf>
    <xf numFmtId="0" fontId="29" fillId="21" borderId="90" xfId="0" applyFont="1" applyFill="1" applyBorder="1" applyAlignment="1">
      <alignment horizontal="center" vertical="center"/>
    </xf>
    <xf numFmtId="0" fontId="29" fillId="21" borderId="31" xfId="0" applyFont="1" applyFill="1" applyBorder="1" applyAlignment="1">
      <alignment horizontal="center" vertical="center"/>
    </xf>
    <xf numFmtId="0" fontId="29" fillId="21" borderId="57" xfId="0" applyFont="1" applyFill="1" applyBorder="1" applyAlignment="1">
      <alignment horizontal="center" vertical="center"/>
    </xf>
    <xf numFmtId="0" fontId="29" fillId="21" borderId="30" xfId="0" applyFont="1" applyFill="1" applyBorder="1" applyAlignment="1">
      <alignment horizontal="center" vertical="center"/>
    </xf>
    <xf numFmtId="0" fontId="29" fillId="21" borderId="59" xfId="0" applyFont="1" applyFill="1" applyBorder="1" applyAlignment="1">
      <alignment horizontal="center" vertical="center"/>
    </xf>
    <xf numFmtId="0" fontId="29" fillId="21" borderId="89" xfId="0" applyFont="1" applyFill="1" applyBorder="1" applyAlignment="1">
      <alignment horizontal="center" vertical="center" wrapText="1"/>
    </xf>
    <xf numFmtId="0" fontId="29" fillId="21" borderId="39" xfId="0" applyFont="1" applyFill="1" applyBorder="1" applyAlignment="1">
      <alignment horizontal="center" vertical="center" wrapText="1"/>
    </xf>
    <xf numFmtId="2" fontId="29" fillId="0" borderId="30" xfId="0" applyNumberFormat="1" applyFont="1" applyBorder="1" applyAlignment="1">
      <alignment horizontal="center" vertical="center" wrapText="1"/>
    </xf>
    <xf numFmtId="0" fontId="30" fillId="0" borderId="30" xfId="0" applyFont="1" applyBorder="1" applyAlignment="1">
      <alignment horizontal="center" vertical="center" wrapText="1"/>
    </xf>
    <xf numFmtId="0" fontId="29" fillId="24" borderId="30" xfId="0" applyFont="1" applyFill="1" applyBorder="1" applyAlignment="1">
      <alignment horizontal="center" vertical="center"/>
    </xf>
    <xf numFmtId="0" fontId="30" fillId="10" borderId="35" xfId="0" applyFont="1" applyFill="1" applyBorder="1" applyAlignment="1">
      <alignment horizontal="center" vertical="center"/>
    </xf>
    <xf numFmtId="0" fontId="30" fillId="10" borderId="0" xfId="0" applyFont="1" applyFill="1" applyAlignment="1">
      <alignment horizontal="center" vertical="center"/>
    </xf>
    <xf numFmtId="0" fontId="30" fillId="10" borderId="29" xfId="0" applyFont="1" applyFill="1" applyBorder="1" applyAlignment="1">
      <alignment horizontal="center" vertical="center"/>
    </xf>
    <xf numFmtId="165" fontId="29" fillId="18" borderId="78" xfId="12" applyNumberFormat="1" applyFont="1" applyFill="1" applyBorder="1" applyAlignment="1">
      <alignment horizontal="center" vertical="center" wrapText="1"/>
    </xf>
    <xf numFmtId="165" fontId="29" fillId="18" borderId="79" xfId="12" applyNumberFormat="1" applyFont="1" applyFill="1" applyBorder="1" applyAlignment="1">
      <alignment horizontal="center" vertical="center" wrapText="1"/>
    </xf>
    <xf numFmtId="165" fontId="29" fillId="18" borderId="80" xfId="12" applyNumberFormat="1" applyFont="1" applyFill="1" applyBorder="1" applyAlignment="1">
      <alignment horizontal="center" vertical="center" wrapText="1"/>
    </xf>
    <xf numFmtId="0" fontId="29" fillId="0" borderId="35" xfId="0" applyFont="1" applyBorder="1" applyAlignment="1">
      <alignment horizontal="center" vertical="center"/>
    </xf>
    <xf numFmtId="0" fontId="29" fillId="0" borderId="0" xfId="0" applyFont="1" applyAlignment="1">
      <alignment horizontal="center" vertical="center"/>
    </xf>
    <xf numFmtId="0" fontId="29" fillId="0" borderId="29" xfId="0" applyFont="1" applyBorder="1" applyAlignment="1">
      <alignment horizontal="center" vertical="center"/>
    </xf>
    <xf numFmtId="0" fontId="29" fillId="10" borderId="35" xfId="0" applyFont="1" applyFill="1" applyBorder="1" applyAlignment="1">
      <alignment horizontal="center" vertical="center"/>
    </xf>
    <xf numFmtId="0" fontId="29" fillId="10" borderId="0" xfId="0" applyFont="1" applyFill="1" applyAlignment="1">
      <alignment horizontal="center" vertical="center"/>
    </xf>
    <xf numFmtId="0" fontId="29" fillId="10" borderId="29" xfId="0" applyFont="1" applyFill="1" applyBorder="1" applyAlignment="1">
      <alignment horizontal="center" vertical="center"/>
    </xf>
    <xf numFmtId="0" fontId="29" fillId="0" borderId="30" xfId="0" applyFont="1" applyBorder="1" applyAlignment="1">
      <alignment horizontal="center" vertical="center"/>
    </xf>
    <xf numFmtId="0" fontId="30" fillId="0" borderId="91" xfId="0" applyFont="1" applyBorder="1" applyAlignment="1">
      <alignment horizontal="center" vertical="center"/>
    </xf>
    <xf numFmtId="0" fontId="30" fillId="0" borderId="0" xfId="0" applyFont="1" applyAlignment="1">
      <alignment horizontal="center" vertical="center"/>
    </xf>
    <xf numFmtId="0" fontId="30" fillId="0" borderId="29"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63" xfId="0" applyFont="1" applyBorder="1" applyAlignment="1">
      <alignment horizontal="center" vertical="center"/>
    </xf>
    <xf numFmtId="0" fontId="29" fillId="10" borderId="43" xfId="5" applyFont="1" applyFill="1" applyBorder="1" applyAlignment="1">
      <alignment horizontal="center" vertical="center"/>
    </xf>
    <xf numFmtId="0" fontId="29" fillId="10" borderId="44" xfId="5" applyFont="1" applyFill="1" applyBorder="1" applyAlignment="1">
      <alignment horizontal="center" vertical="center"/>
    </xf>
    <xf numFmtId="0" fontId="32" fillId="10" borderId="35" xfId="0" applyFont="1" applyFill="1" applyBorder="1" applyAlignment="1">
      <alignment horizontal="center" vertical="center" wrapText="1"/>
    </xf>
    <xf numFmtId="0" fontId="32" fillId="10" borderId="0" xfId="0" applyFont="1" applyFill="1" applyAlignment="1">
      <alignment horizontal="center" vertical="center" wrapText="1"/>
    </xf>
    <xf numFmtId="0" fontId="32" fillId="10" borderId="29" xfId="0" applyFont="1" applyFill="1" applyBorder="1" applyAlignment="1">
      <alignment horizontal="center" vertical="center" wrapText="1"/>
    </xf>
    <xf numFmtId="0" fontId="33" fillId="10" borderId="35" xfId="0" applyFont="1" applyFill="1" applyBorder="1" applyAlignment="1">
      <alignment horizontal="center" vertical="center" wrapText="1"/>
    </xf>
    <xf numFmtId="0" fontId="33" fillId="10" borderId="0" xfId="0" applyFont="1" applyFill="1" applyAlignment="1">
      <alignment horizontal="center" vertical="center" wrapText="1"/>
    </xf>
    <xf numFmtId="0" fontId="33" fillId="10" borderId="29" xfId="0" applyFont="1" applyFill="1" applyBorder="1" applyAlignment="1">
      <alignment horizontal="center" vertical="center" wrapText="1"/>
    </xf>
    <xf numFmtId="0" fontId="36" fillId="10" borderId="35" xfId="0" applyFont="1" applyFill="1" applyBorder="1" applyAlignment="1">
      <alignment horizontal="center" vertical="center" wrapText="1"/>
    </xf>
    <xf numFmtId="0" fontId="36" fillId="10" borderId="0" xfId="0" applyFont="1" applyFill="1" applyAlignment="1">
      <alignment horizontal="center" vertical="center" wrapText="1"/>
    </xf>
    <xf numFmtId="0" fontId="36" fillId="10" borderId="29" xfId="0" applyFont="1" applyFill="1" applyBorder="1" applyAlignment="1">
      <alignment horizontal="center" vertical="center" wrapText="1"/>
    </xf>
    <xf numFmtId="0" fontId="35" fillId="10" borderId="35" xfId="0" applyFont="1" applyFill="1" applyBorder="1" applyAlignment="1">
      <alignment horizontal="center" vertical="center" wrapText="1"/>
    </xf>
    <xf numFmtId="0" fontId="35" fillId="10" borderId="0" xfId="0" applyFont="1" applyFill="1" applyAlignment="1">
      <alignment horizontal="center" vertical="center" wrapText="1"/>
    </xf>
    <xf numFmtId="0" fontId="35" fillId="10" borderId="29" xfId="0" applyFont="1" applyFill="1" applyBorder="1" applyAlignment="1">
      <alignment horizontal="center" vertical="center" wrapText="1"/>
    </xf>
    <xf numFmtId="0" fontId="35" fillId="0" borderId="91" xfId="0" applyFont="1" applyBorder="1" applyAlignment="1">
      <alignment horizontal="center" vertical="center"/>
    </xf>
    <xf numFmtId="0" fontId="35" fillId="0" borderId="0" xfId="0" applyFont="1" applyAlignment="1">
      <alignment horizontal="center" vertical="center"/>
    </xf>
    <xf numFmtId="0" fontId="35" fillId="0" borderId="29" xfId="0" applyFont="1" applyBorder="1" applyAlignment="1">
      <alignment horizontal="center" vertical="center"/>
    </xf>
    <xf numFmtId="0" fontId="29" fillId="10" borderId="51" xfId="5" applyFont="1" applyFill="1" applyBorder="1" applyAlignment="1">
      <alignment horizontal="center" vertical="center"/>
    </xf>
    <xf numFmtId="0" fontId="29" fillId="10" borderId="52" xfId="5" applyFont="1" applyFill="1" applyBorder="1" applyAlignment="1">
      <alignment horizontal="center" vertical="center"/>
    </xf>
    <xf numFmtId="165" fontId="36" fillId="18" borderId="78" xfId="12" applyNumberFormat="1" applyFont="1" applyFill="1" applyBorder="1" applyAlignment="1">
      <alignment horizontal="center" vertical="center" wrapText="1"/>
    </xf>
    <xf numFmtId="165" fontId="36" fillId="18" borderId="79" xfId="12" applyNumberFormat="1" applyFont="1" applyFill="1" applyBorder="1" applyAlignment="1">
      <alignment horizontal="center" vertical="center" wrapText="1"/>
    </xf>
    <xf numFmtId="165" fontId="36" fillId="18" borderId="80" xfId="12" applyNumberFormat="1" applyFont="1" applyFill="1" applyBorder="1" applyAlignment="1">
      <alignment horizontal="center" vertical="center" wrapText="1"/>
    </xf>
    <xf numFmtId="0" fontId="131" fillId="21" borderId="57" xfId="5" applyFont="1" applyFill="1" applyBorder="1" applyAlignment="1">
      <alignment horizontal="center" vertical="center"/>
    </xf>
    <xf numFmtId="0" fontId="131" fillId="21" borderId="89" xfId="5" applyFont="1" applyFill="1" applyBorder="1" applyAlignment="1">
      <alignment horizontal="center" vertical="center"/>
    </xf>
    <xf numFmtId="0" fontId="131" fillId="21" borderId="90" xfId="5" applyFont="1" applyFill="1" applyBorder="1" applyAlignment="1">
      <alignment horizontal="center" vertical="center"/>
    </xf>
    <xf numFmtId="0" fontId="131" fillId="21" borderId="39" xfId="5" applyFont="1" applyFill="1" applyBorder="1" applyAlignment="1">
      <alignment horizontal="center" vertical="center"/>
    </xf>
    <xf numFmtId="0" fontId="131" fillId="21" borderId="37" xfId="5" applyFont="1" applyFill="1" applyBorder="1" applyAlignment="1">
      <alignment horizontal="center" vertical="center"/>
    </xf>
    <xf numFmtId="0" fontId="131" fillId="21" borderId="38" xfId="5" applyFont="1" applyFill="1" applyBorder="1" applyAlignment="1">
      <alignment horizontal="center" vertical="center"/>
    </xf>
    <xf numFmtId="0" fontId="131" fillId="21" borderId="30" xfId="5" applyFont="1" applyFill="1" applyBorder="1" applyAlignment="1">
      <alignment horizontal="center" vertical="center"/>
    </xf>
    <xf numFmtId="0" fontId="131" fillId="21" borderId="31" xfId="5" applyFont="1" applyFill="1" applyBorder="1" applyAlignment="1">
      <alignment horizontal="center" vertical="center"/>
    </xf>
    <xf numFmtId="0" fontId="133" fillId="0" borderId="25" xfId="5" applyFont="1" applyBorder="1" applyAlignment="1">
      <alignment horizontal="center" vertical="center"/>
    </xf>
    <xf numFmtId="0" fontId="133" fillId="0" borderId="26" xfId="5" applyFont="1" applyBorder="1" applyAlignment="1">
      <alignment horizontal="center" vertical="center"/>
    </xf>
    <xf numFmtId="0" fontId="133" fillId="0" borderId="45" xfId="5" applyFont="1" applyBorder="1" applyAlignment="1">
      <alignment horizontal="center" vertical="center"/>
    </xf>
    <xf numFmtId="0" fontId="133" fillId="0" borderId="27" xfId="5" applyFont="1" applyBorder="1" applyAlignment="1">
      <alignment horizontal="center" vertical="center"/>
    </xf>
    <xf numFmtId="14" fontId="36" fillId="9" borderId="86" xfId="5" applyNumberFormat="1" applyFont="1" applyFill="1" applyBorder="1" applyAlignment="1">
      <alignment horizontal="center" vertical="center"/>
    </xf>
    <xf numFmtId="14" fontId="36" fillId="9" borderId="20" xfId="5" applyNumberFormat="1" applyFont="1" applyFill="1" applyBorder="1" applyAlignment="1">
      <alignment horizontal="center" vertical="center"/>
    </xf>
    <xf numFmtId="0" fontId="131" fillId="0" borderId="22" xfId="5" applyFont="1" applyBorder="1" applyAlignment="1">
      <alignment horizontal="center" vertical="center" wrapText="1"/>
    </xf>
    <xf numFmtId="0" fontId="131" fillId="0" borderId="43" xfId="5" applyFont="1" applyBorder="1" applyAlignment="1">
      <alignment horizontal="center" vertical="center" wrapText="1"/>
    </xf>
    <xf numFmtId="0" fontId="131" fillId="0" borderId="35" xfId="5" applyFont="1" applyBorder="1" applyAlignment="1">
      <alignment horizontal="center" vertical="center" wrapText="1"/>
    </xf>
    <xf numFmtId="0" fontId="131" fillId="0" borderId="0" xfId="5" applyFont="1" applyAlignment="1">
      <alignment horizontal="center" vertical="center" wrapText="1"/>
    </xf>
    <xf numFmtId="0" fontId="131" fillId="0" borderId="87" xfId="5" applyFont="1" applyBorder="1" applyAlignment="1">
      <alignment horizontal="center" vertical="center"/>
    </xf>
    <xf numFmtId="0" fontId="131" fillId="0" borderId="59" xfId="5" applyFont="1" applyBorder="1" applyAlignment="1">
      <alignment horizontal="center" vertical="center"/>
    </xf>
    <xf numFmtId="0" fontId="131" fillId="0" borderId="15" xfId="5" applyFont="1" applyBorder="1" applyAlignment="1">
      <alignment horizontal="center" vertical="center"/>
    </xf>
    <xf numFmtId="0" fontId="131" fillId="0" borderId="88" xfId="5" applyFont="1" applyBorder="1" applyAlignment="1">
      <alignment horizontal="center" vertical="center" wrapText="1"/>
    </xf>
    <xf numFmtId="0" fontId="131" fillId="0" borderId="48" xfId="5" applyFont="1" applyBorder="1" applyAlignment="1">
      <alignment horizontal="center" vertical="center" wrapText="1"/>
    </xf>
    <xf numFmtId="0" fontId="131" fillId="0" borderId="49" xfId="5" applyFont="1" applyBorder="1" applyAlignment="1">
      <alignment horizontal="center" vertical="center" wrapText="1"/>
    </xf>
    <xf numFmtId="0" fontId="131" fillId="21" borderId="88" xfId="5" applyFont="1" applyFill="1" applyBorder="1" applyAlignment="1">
      <alignment horizontal="center" vertical="center"/>
    </xf>
    <xf numFmtId="0" fontId="131" fillId="21" borderId="43" xfId="5" applyFont="1" applyFill="1" applyBorder="1" applyAlignment="1">
      <alignment horizontal="center" vertical="center"/>
    </xf>
    <xf numFmtId="0" fontId="131" fillId="21" borderId="70" xfId="5" applyFont="1" applyFill="1" applyBorder="1" applyAlignment="1">
      <alignment horizontal="center" vertical="center"/>
    </xf>
    <xf numFmtId="0" fontId="131" fillId="21" borderId="49" xfId="5" applyFont="1" applyFill="1" applyBorder="1" applyAlignment="1">
      <alignment horizontal="center" vertical="center"/>
    </xf>
    <xf numFmtId="0" fontId="131" fillId="21" borderId="71" xfId="5" applyFont="1" applyFill="1" applyBorder="1" applyAlignment="1">
      <alignment horizontal="center" vertical="center"/>
    </xf>
    <xf numFmtId="0" fontId="131" fillId="21" borderId="64" xfId="5" applyFont="1" applyFill="1" applyBorder="1" applyAlignment="1">
      <alignment horizontal="center" vertical="center"/>
    </xf>
    <xf numFmtId="0" fontId="109" fillId="17" borderId="145" xfId="38" applyFont="1" applyFill="1" applyBorder="1" applyAlignment="1">
      <alignment horizontal="center" vertical="center" wrapText="1"/>
    </xf>
    <xf numFmtId="0" fontId="109" fillId="17" borderId="146" xfId="38" applyFont="1" applyFill="1" applyBorder="1" applyAlignment="1">
      <alignment horizontal="center" vertical="center" wrapText="1"/>
    </xf>
    <xf numFmtId="0" fontId="109" fillId="17" borderId="177" xfId="38" applyFont="1" applyFill="1" applyBorder="1" applyAlignment="1">
      <alignment horizontal="center" vertical="center" wrapText="1"/>
    </xf>
    <xf numFmtId="0" fontId="108" fillId="0" borderId="0" xfId="41" applyFont="1" applyAlignment="1">
      <alignment horizontal="center" vertical="center" wrapText="1"/>
    </xf>
    <xf numFmtId="0" fontId="75" fillId="2" borderId="48" xfId="41" applyFont="1" applyFill="1" applyBorder="1" applyAlignment="1">
      <alignment vertical="center"/>
    </xf>
    <xf numFmtId="0" fontId="75" fillId="2" borderId="0" xfId="41" applyFont="1" applyFill="1" applyAlignment="1">
      <alignment vertical="center"/>
    </xf>
    <xf numFmtId="0" fontId="75" fillId="3" borderId="35" xfId="41" applyFont="1" applyFill="1" applyBorder="1" applyAlignment="1">
      <alignment horizontal="center" vertical="center"/>
    </xf>
    <xf numFmtId="0" fontId="75" fillId="3" borderId="0" xfId="41" applyFont="1" applyFill="1" applyAlignment="1">
      <alignment horizontal="center" vertical="center"/>
    </xf>
    <xf numFmtId="0" fontId="75" fillId="16" borderId="174" xfId="35" applyFont="1" applyFill="1" applyBorder="1" applyAlignment="1">
      <alignment horizontal="center" vertical="center" wrapText="1"/>
    </xf>
    <xf numFmtId="0" fontId="75" fillId="16" borderId="126" xfId="35" applyFont="1" applyFill="1" applyBorder="1" applyAlignment="1">
      <alignment horizontal="center" vertical="center" wrapText="1"/>
    </xf>
    <xf numFmtId="0" fontId="75" fillId="16" borderId="175" xfId="35" applyFont="1" applyFill="1" applyBorder="1" applyAlignment="1">
      <alignment horizontal="center" vertical="center" wrapText="1"/>
    </xf>
    <xf numFmtId="0" fontId="75" fillId="16" borderId="152" xfId="35" applyFont="1" applyFill="1" applyBorder="1" applyAlignment="1">
      <alignment horizontal="center" vertical="center" wrapText="1"/>
    </xf>
    <xf numFmtId="0" fontId="75" fillId="16" borderId="119" xfId="35" applyFont="1" applyFill="1" applyBorder="1" applyAlignment="1">
      <alignment horizontal="center" vertical="center" wrapText="1"/>
    </xf>
    <xf numFmtId="0" fontId="75" fillId="16" borderId="176" xfId="35" applyFont="1" applyFill="1" applyBorder="1" applyAlignment="1">
      <alignment horizontal="center" vertical="center" wrapText="1"/>
    </xf>
    <xf numFmtId="0" fontId="75" fillId="30" borderId="174" xfId="35" applyFont="1" applyFill="1" applyBorder="1" applyAlignment="1">
      <alignment horizontal="center" vertical="center" wrapText="1"/>
    </xf>
    <xf numFmtId="0" fontId="75" fillId="30" borderId="126" xfId="35" applyFont="1" applyFill="1" applyBorder="1" applyAlignment="1">
      <alignment horizontal="center" vertical="center" wrapText="1"/>
    </xf>
    <xf numFmtId="0" fontId="75" fillId="30" borderId="175" xfId="35" applyFont="1" applyFill="1" applyBorder="1" applyAlignment="1">
      <alignment horizontal="center" vertical="center" wrapText="1"/>
    </xf>
    <xf numFmtId="0" fontId="75" fillId="30" borderId="152" xfId="35" applyFont="1" applyFill="1" applyBorder="1" applyAlignment="1">
      <alignment horizontal="center" vertical="center" wrapText="1"/>
    </xf>
    <xf numFmtId="0" fontId="75" fillId="30" borderId="119" xfId="35" applyFont="1" applyFill="1" applyBorder="1" applyAlignment="1">
      <alignment horizontal="center" vertical="center" wrapText="1"/>
    </xf>
    <xf numFmtId="0" fontId="75" fillId="30" borderId="176" xfId="35" applyFont="1" applyFill="1" applyBorder="1" applyAlignment="1">
      <alignment horizontal="center" vertical="center" wrapText="1"/>
    </xf>
    <xf numFmtId="0" fontId="109" fillId="17" borderId="145" xfId="38" applyFont="1" applyFill="1" applyBorder="1" applyAlignment="1">
      <alignment horizontal="center" vertical="center"/>
    </xf>
    <xf numFmtId="0" fontId="109" fillId="29" borderId="145" xfId="38" applyFont="1" applyFill="1" applyBorder="1" applyAlignment="1">
      <alignment horizontal="center" vertical="center"/>
    </xf>
    <xf numFmtId="0" fontId="76" fillId="8" borderId="145" xfId="38" applyFont="1" applyFill="1" applyBorder="1" applyAlignment="1">
      <alignment horizontal="center" vertical="center"/>
    </xf>
    <xf numFmtId="0" fontId="36" fillId="0" borderId="71" xfId="0" applyFont="1" applyBorder="1" applyAlignment="1">
      <alignment horizontal="center" vertical="center"/>
    </xf>
    <xf numFmtId="14" fontId="38" fillId="9" borderId="86" xfId="5" applyNumberFormat="1" applyFont="1" applyFill="1" applyBorder="1" applyAlignment="1">
      <alignment horizontal="center" vertical="center"/>
    </xf>
    <xf numFmtId="14" fontId="38" fillId="9" borderId="20" xfId="5" applyNumberFormat="1" applyFont="1" applyFill="1" applyBorder="1" applyAlignment="1">
      <alignment horizontal="center" vertical="center"/>
    </xf>
    <xf numFmtId="0" fontId="63" fillId="21" borderId="57" xfId="5" applyFont="1" applyFill="1" applyBorder="1" applyAlignment="1">
      <alignment horizontal="center" vertical="center" wrapText="1"/>
    </xf>
    <xf numFmtId="0" fontId="63" fillId="21" borderId="89" xfId="5" applyFont="1" applyFill="1" applyBorder="1" applyAlignment="1">
      <alignment horizontal="center" vertical="center" wrapText="1"/>
    </xf>
    <xf numFmtId="0" fontId="63" fillId="0" borderId="59" xfId="5" applyFont="1" applyBorder="1" applyAlignment="1">
      <alignment horizontal="center" vertical="center" wrapText="1"/>
    </xf>
    <xf numFmtId="0" fontId="63" fillId="0" borderId="15" xfId="5" applyFont="1" applyBorder="1" applyAlignment="1">
      <alignment horizontal="center" vertical="center" wrapText="1"/>
    </xf>
    <xf numFmtId="0" fontId="63" fillId="0" borderId="48" xfId="5" applyFont="1" applyBorder="1" applyAlignment="1">
      <alignment horizontal="center" vertical="center" wrapText="1"/>
    </xf>
    <xf numFmtId="0" fontId="63" fillId="0" borderId="49" xfId="5" applyFont="1" applyBorder="1" applyAlignment="1">
      <alignment horizontal="center" vertical="center" wrapText="1"/>
    </xf>
    <xf numFmtId="0" fontId="64" fillId="0" borderId="25" xfId="5" applyFont="1" applyBorder="1" applyAlignment="1">
      <alignment horizontal="center" vertical="center" wrapText="1"/>
    </xf>
    <xf numFmtId="0" fontId="64" fillId="0" borderId="26" xfId="5" applyFont="1" applyBorder="1" applyAlignment="1">
      <alignment horizontal="center" vertical="center" wrapText="1"/>
    </xf>
    <xf numFmtId="0" fontId="64" fillId="0" borderId="45" xfId="5" applyFont="1" applyBorder="1" applyAlignment="1">
      <alignment horizontal="center" vertical="center" wrapText="1"/>
    </xf>
    <xf numFmtId="0" fontId="64" fillId="0" borderId="27" xfId="5" applyFont="1" applyBorder="1" applyAlignment="1">
      <alignment horizontal="center" vertical="center" wrapText="1"/>
    </xf>
    <xf numFmtId="0" fontId="63" fillId="0" borderId="35" xfId="5" applyFont="1" applyBorder="1" applyAlignment="1">
      <alignment horizontal="center" vertical="center" wrapText="1"/>
    </xf>
    <xf numFmtId="0" fontId="63" fillId="0" borderId="0" xfId="5" applyFont="1" applyAlignment="1">
      <alignment horizontal="center" vertical="center" wrapText="1"/>
    </xf>
    <xf numFmtId="0" fontId="63" fillId="21" borderId="71" xfId="5" applyFont="1" applyFill="1" applyBorder="1" applyAlignment="1">
      <alignment horizontal="center" vertical="center" wrapText="1"/>
    </xf>
    <xf numFmtId="0" fontId="63" fillId="21" borderId="43" xfId="5" applyFont="1" applyFill="1" applyBorder="1" applyAlignment="1">
      <alignment horizontal="center" vertical="center" wrapText="1"/>
    </xf>
    <xf numFmtId="165" fontId="63" fillId="21" borderId="88" xfId="21" applyNumberFormat="1" applyFont="1" applyFill="1" applyBorder="1" applyAlignment="1">
      <alignment horizontal="center" vertical="center" wrapText="1"/>
    </xf>
    <xf numFmtId="165" fontId="63" fillId="21" borderId="49" xfId="21" applyNumberFormat="1" applyFont="1" applyFill="1" applyBorder="1" applyAlignment="1">
      <alignment horizontal="center" vertical="center" wrapText="1"/>
    </xf>
    <xf numFmtId="165" fontId="63" fillId="21" borderId="87" xfId="21" applyNumberFormat="1" applyFont="1" applyFill="1" applyBorder="1" applyAlignment="1">
      <alignment horizontal="center" vertical="center" wrapText="1"/>
    </xf>
    <xf numFmtId="165" fontId="63" fillId="21" borderId="59" xfId="21" applyNumberFormat="1" applyFont="1" applyFill="1" applyBorder="1" applyAlignment="1">
      <alignment horizontal="center" vertical="center" wrapText="1"/>
    </xf>
    <xf numFmtId="165" fontId="63" fillId="21" borderId="15" xfId="21" applyNumberFormat="1" applyFont="1" applyFill="1" applyBorder="1" applyAlignment="1">
      <alignment horizontal="center" vertical="center" wrapText="1"/>
    </xf>
    <xf numFmtId="0" fontId="63" fillId="21" borderId="93" xfId="5" applyFont="1" applyFill="1" applyBorder="1" applyAlignment="1">
      <alignment horizontal="center" vertical="center" wrapText="1"/>
    </xf>
    <xf numFmtId="0" fontId="63" fillId="21" borderId="77" xfId="5" applyFont="1" applyFill="1" applyBorder="1" applyAlignment="1">
      <alignment horizontal="center" vertical="center" wrapText="1"/>
    </xf>
    <xf numFmtId="0" fontId="63" fillId="21" borderId="50" xfId="5" applyFont="1" applyFill="1" applyBorder="1" applyAlignment="1">
      <alignment horizontal="center" vertical="center" wrapText="1"/>
    </xf>
    <xf numFmtId="0" fontId="63" fillId="21" borderId="45" xfId="5" applyFont="1" applyFill="1" applyBorder="1" applyAlignment="1">
      <alignment horizontal="center" vertical="center" wrapText="1"/>
    </xf>
    <xf numFmtId="0" fontId="63" fillId="21" borderId="15" xfId="5" applyFont="1" applyFill="1" applyBorder="1" applyAlignment="1">
      <alignment horizontal="center" vertical="center" wrapText="1"/>
    </xf>
    <xf numFmtId="0" fontId="69" fillId="0" borderId="35" xfId="4" applyFont="1" applyBorder="1" applyAlignment="1">
      <alignment horizontal="center" vertical="center" wrapText="1"/>
    </xf>
    <xf numFmtId="0" fontId="69" fillId="0" borderId="0" xfId="4" applyFont="1" applyAlignment="1">
      <alignment horizontal="center" vertical="center" wrapText="1"/>
    </xf>
    <xf numFmtId="0" fontId="69" fillId="0" borderId="29" xfId="4" applyFont="1" applyBorder="1" applyAlignment="1">
      <alignment horizontal="center" vertical="center" wrapText="1"/>
    </xf>
    <xf numFmtId="0" fontId="70" fillId="0" borderId="0" xfId="4" applyFont="1" applyAlignment="1">
      <alignment horizontal="center" vertical="center"/>
    </xf>
    <xf numFmtId="0" fontId="76" fillId="5" borderId="30" xfId="38" applyFont="1" applyFill="1" applyBorder="1" applyAlignment="1">
      <alignment horizontal="center" vertical="center"/>
    </xf>
    <xf numFmtId="2" fontId="77" fillId="0" borderId="30" xfId="38" applyNumberFormat="1" applyFont="1" applyBorder="1" applyAlignment="1">
      <alignment horizontal="center" vertical="center"/>
    </xf>
    <xf numFmtId="43" fontId="77" fillId="0" borderId="30" xfId="56" applyFont="1" applyBorder="1" applyAlignment="1">
      <alignment horizontal="center" vertical="center"/>
    </xf>
    <xf numFmtId="0" fontId="76" fillId="17" borderId="30" xfId="38" applyFont="1" applyFill="1" applyBorder="1" applyAlignment="1">
      <alignment horizontal="center" vertical="center" wrapText="1"/>
    </xf>
    <xf numFmtId="43" fontId="76" fillId="2" borderId="30" xfId="56" applyFont="1" applyFill="1" applyBorder="1" applyAlignment="1">
      <alignment horizontal="center" vertical="center"/>
    </xf>
    <xf numFmtId="0" fontId="76" fillId="0" borderId="30" xfId="38" applyFont="1" applyBorder="1" applyAlignment="1">
      <alignment horizontal="center" vertical="center" wrapText="1"/>
    </xf>
    <xf numFmtId="165" fontId="76" fillId="0" borderId="30" xfId="31" applyFont="1" applyFill="1" applyBorder="1" applyAlignment="1">
      <alignment horizontal="center" vertical="center"/>
    </xf>
    <xf numFmtId="1" fontId="76" fillId="0" borderId="39" xfId="38" applyNumberFormat="1" applyFont="1" applyBorder="1" applyAlignment="1">
      <alignment horizontal="center" vertical="center" wrapText="1"/>
    </xf>
    <xf numFmtId="1" fontId="76" fillId="0" borderId="37" xfId="38" applyNumberFormat="1" applyFont="1" applyBorder="1" applyAlignment="1">
      <alignment horizontal="center" vertical="center" wrapText="1"/>
    </xf>
    <xf numFmtId="1" fontId="76" fillId="0" borderId="38" xfId="38" applyNumberFormat="1" applyFont="1" applyBorder="1" applyAlignment="1">
      <alignment horizontal="center" vertical="center" wrapText="1"/>
    </xf>
    <xf numFmtId="0" fontId="76" fillId="17" borderId="30" xfId="38" applyFont="1" applyFill="1" applyBorder="1" applyAlignment="1">
      <alignment horizontal="center" vertical="center"/>
    </xf>
    <xf numFmtId="0" fontId="76" fillId="8" borderId="30" xfId="38" applyFont="1" applyFill="1" applyBorder="1" applyAlignment="1">
      <alignment horizontal="center" vertical="center"/>
    </xf>
    <xf numFmtId="2" fontId="77" fillId="0" borderId="30" xfId="38" applyNumberFormat="1" applyFont="1" applyBorder="1" applyAlignment="1">
      <alignment horizontal="center" vertical="center" wrapText="1"/>
    </xf>
    <xf numFmtId="0" fontId="76" fillId="26" borderId="30" xfId="38" applyFont="1" applyFill="1" applyBorder="1" applyAlignment="1">
      <alignment horizontal="center" vertical="center"/>
    </xf>
    <xf numFmtId="0" fontId="76" fillId="5" borderId="30" xfId="5" applyFont="1" applyFill="1" applyBorder="1" applyAlignment="1">
      <alignment horizontal="center" vertical="center"/>
    </xf>
    <xf numFmtId="0" fontId="76" fillId="17" borderId="39" xfId="5" applyFont="1" applyFill="1" applyBorder="1" applyAlignment="1">
      <alignment horizontal="center" vertical="center"/>
    </xf>
    <xf numFmtId="0" fontId="76" fillId="17" borderId="37" xfId="5" applyFont="1" applyFill="1" applyBorder="1" applyAlignment="1">
      <alignment horizontal="center" vertical="center"/>
    </xf>
    <xf numFmtId="0" fontId="76" fillId="17" borderId="38" xfId="5" applyFont="1" applyFill="1" applyBorder="1" applyAlignment="1">
      <alignment horizontal="center" vertical="center"/>
    </xf>
    <xf numFmtId="0" fontId="76" fillId="5" borderId="0" xfId="5" applyFont="1" applyFill="1" applyAlignment="1">
      <alignment horizontal="left" wrapText="1"/>
    </xf>
    <xf numFmtId="0" fontId="76" fillId="0" borderId="0" xfId="5" applyFont="1" applyAlignment="1">
      <alignment horizontal="left" wrapText="1"/>
    </xf>
    <xf numFmtId="0" fontId="76" fillId="5" borderId="39" xfId="5" applyFont="1" applyFill="1" applyBorder="1" applyAlignment="1">
      <alignment horizontal="center" vertical="center"/>
    </xf>
    <xf numFmtId="0" fontId="76" fillId="5" borderId="37" xfId="5" applyFont="1" applyFill="1" applyBorder="1" applyAlignment="1">
      <alignment horizontal="center" vertical="center"/>
    </xf>
    <xf numFmtId="0" fontId="76" fillId="5" borderId="38" xfId="5" applyFont="1" applyFill="1" applyBorder="1" applyAlignment="1">
      <alignment horizontal="center" vertical="center"/>
    </xf>
    <xf numFmtId="2" fontId="77" fillId="0" borderId="39" xfId="5" applyNumberFormat="1" applyFont="1" applyBorder="1" applyAlignment="1">
      <alignment horizontal="center" vertical="center"/>
    </xf>
    <xf numFmtId="2" fontId="77" fillId="0" borderId="37" xfId="5" applyNumberFormat="1" applyFont="1" applyBorder="1" applyAlignment="1">
      <alignment horizontal="center" vertical="center"/>
    </xf>
    <xf numFmtId="2" fontId="77" fillId="0" borderId="38" xfId="5" applyNumberFormat="1" applyFont="1" applyBorder="1" applyAlignment="1">
      <alignment horizontal="center" vertical="center"/>
    </xf>
    <xf numFmtId="0" fontId="72" fillId="26" borderId="24" xfId="5" applyFont="1" applyFill="1" applyBorder="1" applyAlignment="1">
      <alignment horizontal="center" vertical="center"/>
    </xf>
    <xf numFmtId="0" fontId="72" fillId="26" borderId="30" xfId="5" applyFont="1" applyFill="1" applyBorder="1" applyAlignment="1">
      <alignment horizontal="center" vertical="center"/>
    </xf>
    <xf numFmtId="0" fontId="75" fillId="0" borderId="22" xfId="5" applyFont="1" applyBorder="1" applyAlignment="1">
      <alignment horizontal="center" vertical="center"/>
    </xf>
    <xf numFmtId="0" fontId="75" fillId="0" borderId="43" xfId="5" applyFont="1" applyBorder="1" applyAlignment="1">
      <alignment horizontal="center" vertical="center"/>
    </xf>
    <xf numFmtId="0" fontId="75" fillId="0" borderId="44" xfId="5" applyFont="1" applyBorder="1" applyAlignment="1">
      <alignment horizontal="center" vertical="center"/>
    </xf>
    <xf numFmtId="0" fontId="76" fillId="5" borderId="111" xfId="5" applyFont="1" applyFill="1" applyBorder="1" applyAlignment="1">
      <alignment horizontal="center" vertical="center" wrapText="1"/>
    </xf>
    <xf numFmtId="0" fontId="76" fillId="5" borderId="112" xfId="5" applyFont="1" applyFill="1" applyBorder="1" applyAlignment="1">
      <alignment horizontal="center" vertical="center" wrapText="1"/>
    </xf>
    <xf numFmtId="0" fontId="76" fillId="5" borderId="113" xfId="5" applyFont="1" applyFill="1" applyBorder="1" applyAlignment="1">
      <alignment horizontal="center" vertical="center" wrapText="1"/>
    </xf>
    <xf numFmtId="0" fontId="76" fillId="3" borderId="36" xfId="5" applyFont="1" applyFill="1" applyBorder="1" applyAlignment="1">
      <alignment horizontal="center" vertical="center" wrapText="1"/>
    </xf>
    <xf numFmtId="0" fontId="76" fillId="3" borderId="37" xfId="5" applyFont="1" applyFill="1" applyBorder="1" applyAlignment="1">
      <alignment horizontal="center" vertical="center" wrapText="1"/>
    </xf>
    <xf numFmtId="0" fontId="76" fillId="3" borderId="40" xfId="5" applyFont="1" applyFill="1" applyBorder="1" applyAlignment="1">
      <alignment horizontal="center" vertical="center" wrapText="1"/>
    </xf>
    <xf numFmtId="0" fontId="76" fillId="4" borderId="114" xfId="5" applyFont="1" applyFill="1" applyBorder="1" applyAlignment="1">
      <alignment horizontal="center" vertical="center"/>
    </xf>
    <xf numFmtId="0" fontId="76" fillId="4" borderId="103" xfId="5" applyFont="1" applyFill="1" applyBorder="1" applyAlignment="1">
      <alignment horizontal="center" vertical="center"/>
    </xf>
    <xf numFmtId="0" fontId="76" fillId="5" borderId="103" xfId="5" applyFont="1" applyFill="1" applyBorder="1" applyAlignment="1">
      <alignment horizontal="left" wrapText="1"/>
    </xf>
    <xf numFmtId="0" fontId="76" fillId="2" borderId="30" xfId="5" applyFont="1" applyFill="1" applyBorder="1" applyAlignment="1">
      <alignment horizontal="center" vertical="center"/>
    </xf>
    <xf numFmtId="2" fontId="79" fillId="17" borderId="30" xfId="5" applyNumberFormat="1" applyFont="1" applyFill="1" applyBorder="1" applyAlignment="1">
      <alignment horizontal="center" vertical="center"/>
    </xf>
    <xf numFmtId="0" fontId="76" fillId="0" borderId="0" xfId="38" applyFont="1" applyAlignment="1">
      <alignment horizontal="center" vertical="center"/>
    </xf>
    <xf numFmtId="0" fontId="3" fillId="0" borderId="0" xfId="5"/>
    <xf numFmtId="0" fontId="79" fillId="5" borderId="30" xfId="5" applyFont="1" applyFill="1" applyBorder="1" applyAlignment="1">
      <alignment horizontal="center"/>
    </xf>
    <xf numFmtId="0" fontId="79" fillId="5" borderId="30" xfId="5" applyFont="1" applyFill="1" applyBorder="1" applyAlignment="1">
      <alignment horizontal="center" vertical="center"/>
    </xf>
    <xf numFmtId="0" fontId="76" fillId="26" borderId="30" xfId="5" applyFont="1" applyFill="1" applyBorder="1" applyAlignment="1">
      <alignment horizontal="center"/>
    </xf>
    <xf numFmtId="2" fontId="80" fillId="0" borderId="30" xfId="5" applyNumberFormat="1" applyFont="1" applyBorder="1" applyAlignment="1">
      <alignment horizontal="center" vertical="center" wrapText="1"/>
    </xf>
    <xf numFmtId="2" fontId="80" fillId="0" borderId="30" xfId="5" applyNumberFormat="1" applyFont="1" applyBorder="1" applyAlignment="1">
      <alignment horizontal="center" vertical="center"/>
    </xf>
    <xf numFmtId="2" fontId="77" fillId="0" borderId="39" xfId="38" applyNumberFormat="1" applyFont="1" applyBorder="1" applyAlignment="1">
      <alignment horizontal="center" vertical="center"/>
    </xf>
    <xf numFmtId="2" fontId="77" fillId="0" borderId="38" xfId="38" applyNumberFormat="1" applyFont="1" applyBorder="1" applyAlignment="1">
      <alignment horizontal="center" vertical="center"/>
    </xf>
    <xf numFmtId="0" fontId="81" fillId="0" borderId="0" xfId="5" applyFont="1" applyAlignment="1">
      <alignment horizontal="center" vertical="center"/>
    </xf>
    <xf numFmtId="0" fontId="79" fillId="17" borderId="39" xfId="5" applyFont="1" applyFill="1" applyBorder="1" applyAlignment="1">
      <alignment horizontal="center" vertical="center" wrapText="1"/>
    </xf>
    <xf numFmtId="0" fontId="79" fillId="17" borderId="37" xfId="5" applyFont="1" applyFill="1" applyBorder="1" applyAlignment="1">
      <alignment horizontal="center" vertical="center" wrapText="1"/>
    </xf>
    <xf numFmtId="0" fontId="79" fillId="17" borderId="38" xfId="5" applyFont="1" applyFill="1" applyBorder="1" applyAlignment="1">
      <alignment horizontal="center" vertical="center" wrapText="1"/>
    </xf>
    <xf numFmtId="2" fontId="79" fillId="2" borderId="39" xfId="5" applyNumberFormat="1" applyFont="1" applyFill="1" applyBorder="1" applyAlignment="1">
      <alignment horizontal="center" vertical="center"/>
    </xf>
    <xf numFmtId="2" fontId="79" fillId="2" borderId="38" xfId="5" applyNumberFormat="1" applyFont="1" applyFill="1" applyBorder="1" applyAlignment="1">
      <alignment horizontal="center" vertical="center"/>
    </xf>
    <xf numFmtId="0" fontId="79" fillId="0" borderId="30" xfId="5" applyFont="1" applyBorder="1" applyAlignment="1">
      <alignment horizontal="center" vertical="center" wrapText="1"/>
    </xf>
    <xf numFmtId="165" fontId="79" fillId="0" borderId="30" xfId="31" applyFont="1" applyFill="1" applyBorder="1" applyAlignment="1">
      <alignment horizontal="center" vertical="center"/>
    </xf>
    <xf numFmtId="0" fontId="76" fillId="5" borderId="28" xfId="5" applyFont="1" applyFill="1" applyBorder="1" applyAlignment="1">
      <alignment horizontal="center" vertical="center"/>
    </xf>
    <xf numFmtId="0" fontId="76" fillId="5" borderId="81" xfId="5" applyFont="1" applyFill="1" applyBorder="1" applyAlignment="1">
      <alignment horizontal="center" vertical="center"/>
    </xf>
    <xf numFmtId="0" fontId="76" fillId="5" borderId="58" xfId="5" applyFont="1" applyFill="1" applyBorder="1" applyAlignment="1">
      <alignment horizontal="center" vertical="center"/>
    </xf>
    <xf numFmtId="0" fontId="76" fillId="0" borderId="0" xfId="5" applyFont="1" applyAlignment="1">
      <alignment horizontal="center" vertical="center"/>
    </xf>
    <xf numFmtId="0" fontId="76" fillId="17" borderId="86" xfId="5" applyFont="1" applyFill="1" applyBorder="1" applyAlignment="1">
      <alignment horizontal="center" vertical="center"/>
    </xf>
    <xf numFmtId="0" fontId="76" fillId="17" borderId="20" xfId="5" applyFont="1" applyFill="1" applyBorder="1" applyAlignment="1">
      <alignment horizontal="center" vertical="center"/>
    </xf>
    <xf numFmtId="0" fontId="76" fillId="17" borderId="94" xfId="5" applyFont="1" applyFill="1" applyBorder="1" applyAlignment="1">
      <alignment horizontal="center" vertical="center"/>
    </xf>
    <xf numFmtId="2" fontId="77" fillId="0" borderId="48" xfId="5" applyNumberFormat="1" applyFont="1" applyBorder="1" applyAlignment="1">
      <alignment horizontal="center" vertical="center" wrapText="1"/>
    </xf>
    <xf numFmtId="2" fontId="77" fillId="0" borderId="0" xfId="5" applyNumberFormat="1" applyFont="1" applyAlignment="1">
      <alignment horizontal="center" vertical="center" wrapText="1"/>
    </xf>
    <xf numFmtId="2" fontId="77" fillId="0" borderId="98" xfId="5" applyNumberFormat="1" applyFont="1" applyBorder="1" applyAlignment="1">
      <alignment horizontal="center" vertical="center" wrapText="1"/>
    </xf>
    <xf numFmtId="0" fontId="76" fillId="17" borderId="39" xfId="5" applyFont="1" applyFill="1" applyBorder="1" applyAlignment="1">
      <alignment horizontal="center" vertical="center" wrapText="1"/>
    </xf>
    <xf numFmtId="0" fontId="76" fillId="17" borderId="37" xfId="5" applyFont="1" applyFill="1" applyBorder="1" applyAlignment="1">
      <alignment horizontal="center" vertical="center" wrapText="1"/>
    </xf>
    <xf numFmtId="0" fontId="76" fillId="17" borderId="38" xfId="5" applyFont="1" applyFill="1" applyBorder="1" applyAlignment="1">
      <alignment horizontal="center" vertical="center" wrapText="1"/>
    </xf>
    <xf numFmtId="2" fontId="76" fillId="2" borderId="39" xfId="5" applyNumberFormat="1" applyFont="1" applyFill="1" applyBorder="1" applyAlignment="1">
      <alignment horizontal="center" vertical="center"/>
    </xf>
    <xf numFmtId="2" fontId="76" fillId="2" borderId="38" xfId="5" applyNumberFormat="1" applyFont="1" applyFill="1" applyBorder="1" applyAlignment="1">
      <alignment horizontal="center" vertical="center"/>
    </xf>
    <xf numFmtId="2" fontId="79" fillId="0" borderId="30" xfId="5" applyNumberFormat="1" applyFont="1" applyBorder="1" applyAlignment="1">
      <alignment horizontal="center" vertical="center"/>
    </xf>
    <xf numFmtId="43" fontId="79" fillId="2" borderId="39" xfId="32" applyFont="1" applyFill="1" applyBorder="1" applyAlignment="1">
      <alignment horizontal="center" vertical="center"/>
    </xf>
    <xf numFmtId="43" fontId="79" fillId="2" borderId="38" xfId="32" applyFont="1" applyFill="1" applyBorder="1" applyAlignment="1">
      <alignment horizontal="center" vertical="center"/>
    </xf>
    <xf numFmtId="0" fontId="76" fillId="5" borderId="86" xfId="5" applyFont="1" applyFill="1" applyBorder="1" applyAlignment="1">
      <alignment horizontal="center" vertical="center"/>
    </xf>
    <xf numFmtId="0" fontId="76" fillId="5" borderId="20" xfId="5" applyFont="1" applyFill="1" applyBorder="1" applyAlignment="1">
      <alignment horizontal="center" vertical="center"/>
    </xf>
    <xf numFmtId="0" fontId="76" fillId="5" borderId="94" xfId="5" applyFont="1" applyFill="1" applyBorder="1" applyAlignment="1">
      <alignment horizontal="center" vertical="center"/>
    </xf>
    <xf numFmtId="0" fontId="76" fillId="8" borderId="49" xfId="5" applyFont="1" applyFill="1" applyBorder="1" applyAlignment="1">
      <alignment horizontal="center" vertical="center"/>
    </xf>
    <xf numFmtId="0" fontId="76" fillId="8" borderId="64" xfId="5" applyFont="1" applyFill="1" applyBorder="1" applyAlignment="1">
      <alignment horizontal="center" vertical="center"/>
    </xf>
    <xf numFmtId="43" fontId="77" fillId="0" borderId="37" xfId="32" applyFont="1" applyBorder="1" applyAlignment="1">
      <alignment horizontal="center" vertical="center"/>
    </xf>
    <xf numFmtId="43" fontId="77" fillId="0" borderId="38" xfId="32" applyFont="1" applyBorder="1" applyAlignment="1">
      <alignment horizontal="center" vertical="center"/>
    </xf>
    <xf numFmtId="43" fontId="79" fillId="17" borderId="39" xfId="32" applyFont="1" applyFill="1" applyBorder="1" applyAlignment="1">
      <alignment horizontal="center" vertical="center"/>
    </xf>
    <xf numFmtId="43" fontId="79" fillId="17" borderId="38" xfId="32" applyFont="1" applyFill="1" applyBorder="1" applyAlignment="1">
      <alignment horizontal="center" vertical="center"/>
    </xf>
    <xf numFmtId="0" fontId="76" fillId="8" borderId="86" xfId="5" applyFont="1" applyFill="1" applyBorder="1" applyAlignment="1">
      <alignment horizontal="center" vertical="center"/>
    </xf>
    <xf numFmtId="0" fontId="76" fillId="8" borderId="20" xfId="5" applyFont="1" applyFill="1" applyBorder="1" applyAlignment="1">
      <alignment horizontal="center" vertical="center"/>
    </xf>
    <xf numFmtId="0" fontId="76" fillId="8" borderId="94" xfId="5" applyFont="1" applyFill="1" applyBorder="1" applyAlignment="1">
      <alignment horizontal="center" vertical="center"/>
    </xf>
    <xf numFmtId="2" fontId="77" fillId="0" borderId="121" xfId="38" applyNumberFormat="1" applyFont="1" applyBorder="1" applyAlignment="1">
      <alignment horizontal="center" vertical="center" wrapText="1"/>
    </xf>
    <xf numFmtId="0" fontId="76" fillId="27" borderId="86" xfId="5" applyFont="1" applyFill="1" applyBorder="1" applyAlignment="1">
      <alignment horizontal="center" vertical="center"/>
    </xf>
    <xf numFmtId="0" fontId="76" fillId="27" borderId="20" xfId="5" applyFont="1" applyFill="1" applyBorder="1" applyAlignment="1">
      <alignment horizontal="center" vertical="center"/>
    </xf>
    <xf numFmtId="0" fontId="76" fillId="27" borderId="94" xfId="5" applyFont="1" applyFill="1" applyBorder="1" applyAlignment="1">
      <alignment horizontal="center" vertical="center"/>
    </xf>
    <xf numFmtId="0" fontId="72" fillId="8" borderId="56" xfId="5" applyFont="1" applyFill="1" applyBorder="1" applyAlignment="1">
      <alignment horizontal="center" vertical="center"/>
    </xf>
    <xf numFmtId="0" fontId="72" fillId="8" borderId="71" xfId="5" applyFont="1" applyFill="1" applyBorder="1" applyAlignment="1">
      <alignment horizontal="center" vertical="center"/>
    </xf>
    <xf numFmtId="0" fontId="72" fillId="8" borderId="95" xfId="5" applyFont="1" applyFill="1" applyBorder="1" applyAlignment="1">
      <alignment horizontal="center" vertical="center"/>
    </xf>
    <xf numFmtId="2" fontId="77" fillId="0" borderId="128" xfId="38" applyNumberFormat="1" applyFont="1" applyBorder="1" applyAlignment="1">
      <alignment horizontal="center" vertical="center" wrapText="1"/>
    </xf>
    <xf numFmtId="0" fontId="79" fillId="5" borderId="39" xfId="5" applyFont="1" applyFill="1" applyBorder="1" applyAlignment="1">
      <alignment horizontal="center" vertical="center"/>
    </xf>
    <xf numFmtId="0" fontId="79" fillId="5" borderId="37" xfId="5" applyFont="1" applyFill="1" applyBorder="1" applyAlignment="1">
      <alignment horizontal="center" vertical="center"/>
    </xf>
    <xf numFmtId="0" fontId="79" fillId="5" borderId="38" xfId="5" applyFont="1" applyFill="1" applyBorder="1" applyAlignment="1">
      <alignment horizontal="center" vertical="center"/>
    </xf>
    <xf numFmtId="0" fontId="76" fillId="26" borderId="39" xfId="5" applyFont="1" applyFill="1" applyBorder="1" applyAlignment="1">
      <alignment horizontal="center" vertical="center"/>
    </xf>
    <xf numFmtId="0" fontId="76" fillId="26" borderId="38" xfId="5" applyFont="1" applyFill="1" applyBorder="1" applyAlignment="1">
      <alignment horizontal="center" vertical="center"/>
    </xf>
    <xf numFmtId="0" fontId="76" fillId="0" borderId="0" xfId="5" applyFont="1" applyAlignment="1">
      <alignment horizontal="left" vertical="center" wrapText="1"/>
    </xf>
    <xf numFmtId="0" fontId="79" fillId="5" borderId="86" xfId="5" applyFont="1" applyFill="1" applyBorder="1" applyAlignment="1">
      <alignment horizontal="center" vertical="center"/>
    </xf>
    <xf numFmtId="0" fontId="79" fillId="5" borderId="20" xfId="5" applyFont="1" applyFill="1" applyBorder="1" applyAlignment="1">
      <alignment horizontal="center" vertical="center"/>
    </xf>
    <xf numFmtId="0" fontId="79" fillId="5" borderId="94" xfId="5" applyFont="1" applyFill="1" applyBorder="1" applyAlignment="1">
      <alignment horizontal="center" vertical="center"/>
    </xf>
    <xf numFmtId="0" fontId="79" fillId="26" borderId="89" xfId="5" applyFont="1" applyFill="1" applyBorder="1" applyAlignment="1">
      <alignment horizontal="center" vertical="center" wrapText="1"/>
    </xf>
    <xf numFmtId="0" fontId="79" fillId="26" borderId="138" xfId="5" applyFont="1" applyFill="1" applyBorder="1" applyAlignment="1">
      <alignment horizontal="center" vertical="center" wrapText="1"/>
    </xf>
    <xf numFmtId="2" fontId="77" fillId="0" borderId="30" xfId="56" applyNumberFormat="1" applyFont="1" applyBorder="1" applyAlignment="1">
      <alignment horizontal="center" vertical="center"/>
    </xf>
    <xf numFmtId="0" fontId="79" fillId="17" borderId="62" xfId="5" applyFont="1" applyFill="1" applyBorder="1" applyAlignment="1">
      <alignment horizontal="center" vertical="center" wrapText="1"/>
    </xf>
    <xf numFmtId="0" fontId="79" fillId="17" borderId="83" xfId="5" applyFont="1" applyFill="1" applyBorder="1" applyAlignment="1">
      <alignment horizontal="center" vertical="center" wrapText="1"/>
    </xf>
    <xf numFmtId="0" fontId="76" fillId="0" borderId="48" xfId="38" applyFont="1" applyBorder="1" applyAlignment="1">
      <alignment horizontal="left" vertical="center" wrapText="1"/>
    </xf>
    <xf numFmtId="0" fontId="76" fillId="0" borderId="0" xfId="38" applyFont="1" applyAlignment="1">
      <alignment horizontal="left" vertical="center" wrapText="1"/>
    </xf>
    <xf numFmtId="0" fontId="76" fillId="27" borderId="30" xfId="38" applyFont="1" applyFill="1" applyBorder="1" applyAlignment="1">
      <alignment horizontal="center" vertical="center"/>
    </xf>
    <xf numFmtId="2" fontId="77" fillId="0" borderId="142" xfId="38" applyNumberFormat="1" applyFont="1" applyBorder="1" applyAlignment="1">
      <alignment horizontal="center" vertical="center" wrapText="1"/>
    </xf>
    <xf numFmtId="2" fontId="77" fillId="0" borderId="143" xfId="38" applyNumberFormat="1" applyFont="1" applyBorder="1" applyAlignment="1">
      <alignment horizontal="center" vertical="center" wrapText="1"/>
    </xf>
    <xf numFmtId="2" fontId="77" fillId="0" borderId="144" xfId="38" applyNumberFormat="1" applyFont="1" applyBorder="1" applyAlignment="1">
      <alignment horizontal="center" vertical="center" wrapText="1"/>
    </xf>
    <xf numFmtId="2" fontId="77" fillId="0" borderId="145" xfId="38" applyNumberFormat="1" applyFont="1" applyBorder="1" applyAlignment="1">
      <alignment horizontal="center" vertical="center" wrapText="1"/>
    </xf>
    <xf numFmtId="2" fontId="77" fillId="0" borderId="147" xfId="38" applyNumberFormat="1" applyFont="1" applyBorder="1" applyAlignment="1">
      <alignment horizontal="center" vertical="center" wrapText="1"/>
    </xf>
    <xf numFmtId="2" fontId="77" fillId="0" borderId="148" xfId="38" applyNumberFormat="1" applyFont="1" applyBorder="1" applyAlignment="1">
      <alignment horizontal="center" vertical="center" wrapText="1"/>
    </xf>
    <xf numFmtId="0" fontId="76" fillId="2" borderId="28" xfId="5" applyFont="1" applyFill="1" applyBorder="1" applyAlignment="1">
      <alignment horizontal="center" vertical="center"/>
    </xf>
    <xf numFmtId="0" fontId="76" fillId="2" borderId="81" xfId="5" applyFont="1" applyFill="1" applyBorder="1" applyAlignment="1">
      <alignment horizontal="center" vertical="center"/>
    </xf>
    <xf numFmtId="0" fontId="76" fillId="2" borderId="139" xfId="5" applyFont="1" applyFill="1" applyBorder="1" applyAlignment="1">
      <alignment horizontal="center" vertical="center"/>
    </xf>
    <xf numFmtId="2" fontId="79" fillId="17" borderId="28" xfId="5" applyNumberFormat="1" applyFont="1" applyFill="1" applyBorder="1" applyAlignment="1">
      <alignment horizontal="center" vertical="center"/>
    </xf>
    <xf numFmtId="2" fontId="79" fillId="17" borderId="58" xfId="5" applyNumberFormat="1" applyFont="1" applyFill="1" applyBorder="1" applyAlignment="1">
      <alignment horizontal="center" vertical="center"/>
    </xf>
    <xf numFmtId="0" fontId="79" fillId="5" borderId="92" xfId="5" applyFont="1" applyFill="1" applyBorder="1" applyAlignment="1">
      <alignment horizontal="center"/>
    </xf>
    <xf numFmtId="0" fontId="79" fillId="5" borderId="57" xfId="5" applyFont="1" applyFill="1" applyBorder="1" applyAlignment="1">
      <alignment horizontal="center"/>
    </xf>
    <xf numFmtId="0" fontId="79" fillId="5" borderId="57" xfId="5" applyFont="1" applyFill="1" applyBorder="1" applyAlignment="1">
      <alignment horizontal="center" vertical="center"/>
    </xf>
    <xf numFmtId="0" fontId="79" fillId="5" borderId="90" xfId="5" applyFont="1" applyFill="1" applyBorder="1" applyAlignment="1">
      <alignment horizontal="center" vertical="center"/>
    </xf>
    <xf numFmtId="0" fontId="79" fillId="5" borderId="31" xfId="5" applyFont="1" applyFill="1" applyBorder="1" applyAlignment="1">
      <alignment horizontal="center" vertical="center"/>
    </xf>
    <xf numFmtId="0" fontId="76" fillId="26" borderId="24" xfId="5" applyFont="1" applyFill="1" applyBorder="1" applyAlignment="1">
      <alignment horizontal="center"/>
    </xf>
    <xf numFmtId="2" fontId="80" fillId="0" borderId="25" xfId="5" applyNumberFormat="1" applyFont="1" applyBorder="1" applyAlignment="1">
      <alignment horizontal="center" vertical="center" wrapText="1"/>
    </xf>
    <xf numFmtId="2" fontId="80" fillId="0" borderId="45" xfId="5" applyNumberFormat="1" applyFont="1" applyBorder="1" applyAlignment="1">
      <alignment horizontal="center" vertical="center" wrapText="1"/>
    </xf>
    <xf numFmtId="2" fontId="80" fillId="0" borderId="45" xfId="5" applyNumberFormat="1" applyFont="1" applyBorder="1" applyAlignment="1">
      <alignment horizontal="center" vertical="center"/>
    </xf>
    <xf numFmtId="2" fontId="80" fillId="0" borderId="61" xfId="5" applyNumberFormat="1" applyFont="1" applyBorder="1" applyAlignment="1">
      <alignment horizontal="center" vertical="center"/>
    </xf>
    <xf numFmtId="0" fontId="76" fillId="17" borderId="86" xfId="5" applyFont="1" applyFill="1" applyBorder="1" applyAlignment="1">
      <alignment horizontal="center" vertical="center" wrapText="1"/>
    </xf>
    <xf numFmtId="0" fontId="76" fillId="17" borderId="20" xfId="5" applyFont="1" applyFill="1" applyBorder="1" applyAlignment="1">
      <alignment horizontal="center" vertical="center" wrapText="1"/>
    </xf>
    <xf numFmtId="0" fontId="76" fillId="17" borderId="94" xfId="5" applyFont="1" applyFill="1" applyBorder="1" applyAlignment="1">
      <alignment horizontal="center" vertical="center" wrapText="1"/>
    </xf>
    <xf numFmtId="0" fontId="76" fillId="17" borderId="62" xfId="5" applyFont="1" applyFill="1" applyBorder="1" applyAlignment="1">
      <alignment horizontal="center" vertical="center" wrapText="1"/>
    </xf>
    <xf numFmtId="0" fontId="76" fillId="17" borderId="83" xfId="5" applyFont="1" applyFill="1" applyBorder="1" applyAlignment="1">
      <alignment horizontal="center" vertical="center" wrapText="1"/>
    </xf>
    <xf numFmtId="0" fontId="76" fillId="17" borderId="60" xfId="5" applyFont="1" applyFill="1" applyBorder="1" applyAlignment="1">
      <alignment horizontal="center" vertical="center" wrapText="1"/>
    </xf>
    <xf numFmtId="43" fontId="79" fillId="2" borderId="55" xfId="32" applyFont="1" applyFill="1" applyBorder="1" applyAlignment="1">
      <alignment horizontal="center" vertical="center"/>
    </xf>
    <xf numFmtId="43" fontId="79" fillId="2" borderId="140" xfId="32" applyFont="1" applyFill="1" applyBorder="1" applyAlignment="1">
      <alignment horizontal="center" vertical="center"/>
    </xf>
    <xf numFmtId="0" fontId="76" fillId="17" borderId="56" xfId="5" applyFont="1" applyFill="1" applyBorder="1" applyAlignment="1">
      <alignment horizontal="center" vertical="center"/>
    </xf>
    <xf numFmtId="0" fontId="76" fillId="17" borderId="71" xfId="5" applyFont="1" applyFill="1" applyBorder="1" applyAlignment="1">
      <alignment horizontal="center" vertical="center"/>
    </xf>
    <xf numFmtId="0" fontId="76" fillId="17" borderId="95" xfId="5" applyFont="1" applyFill="1" applyBorder="1" applyAlignment="1">
      <alignment horizontal="center" vertical="center"/>
    </xf>
    <xf numFmtId="0" fontId="76" fillId="26" borderId="36" xfId="5" applyFont="1" applyFill="1" applyBorder="1" applyAlignment="1">
      <alignment horizontal="center" vertical="center"/>
    </xf>
    <xf numFmtId="0" fontId="76" fillId="26" borderId="37" xfId="5" applyFont="1" applyFill="1" applyBorder="1" applyAlignment="1">
      <alignment horizontal="center" vertical="center"/>
    </xf>
    <xf numFmtId="2" fontId="77" fillId="0" borderId="30" xfId="38" applyNumberFormat="1" applyFont="1" applyBorder="1" applyAlignment="1">
      <alignment horizontal="right" vertical="center"/>
    </xf>
    <xf numFmtId="2" fontId="77" fillId="0" borderId="39" xfId="38" applyNumberFormat="1" applyFont="1" applyBorder="1" applyAlignment="1">
      <alignment horizontal="right" vertical="center"/>
    </xf>
    <xf numFmtId="0" fontId="76" fillId="17" borderId="36" xfId="5" applyFont="1" applyFill="1" applyBorder="1" applyAlignment="1">
      <alignment horizontal="center" vertical="center"/>
    </xf>
    <xf numFmtId="0" fontId="76" fillId="17" borderId="40" xfId="5" applyFont="1" applyFill="1" applyBorder="1" applyAlignment="1">
      <alignment horizontal="center" vertical="center"/>
    </xf>
    <xf numFmtId="0" fontId="76" fillId="26" borderId="30" xfId="5" applyFont="1" applyFill="1" applyBorder="1" applyAlignment="1">
      <alignment horizontal="center" vertical="center"/>
    </xf>
    <xf numFmtId="0" fontId="108" fillId="0" borderId="0" xfId="41" applyFont="1" applyAlignment="1">
      <alignment horizontal="center" vertical="center"/>
    </xf>
    <xf numFmtId="0" fontId="75" fillId="2" borderId="0" xfId="41" applyFont="1" applyFill="1" applyAlignment="1">
      <alignment horizontal="center" vertical="center"/>
    </xf>
    <xf numFmtId="0" fontId="75" fillId="16" borderId="22" xfId="35" applyFont="1" applyFill="1" applyBorder="1" applyAlignment="1">
      <alignment horizontal="center" vertical="center" wrapText="1"/>
    </xf>
    <xf numFmtId="0" fontId="75" fillId="16" borderId="43" xfId="35" applyFont="1" applyFill="1" applyBorder="1" applyAlignment="1">
      <alignment horizontal="center" vertical="center" wrapText="1"/>
    </xf>
    <xf numFmtId="0" fontId="75" fillId="16" borderId="44" xfId="35" applyFont="1" applyFill="1" applyBorder="1" applyAlignment="1">
      <alignment horizontal="center" vertical="center" wrapText="1"/>
    </xf>
    <xf numFmtId="0" fontId="75" fillId="16" borderId="41" xfId="35" applyFont="1" applyFill="1" applyBorder="1" applyAlignment="1">
      <alignment horizontal="center" vertical="center" wrapText="1"/>
    </xf>
    <xf numFmtId="0" fontId="75" fillId="16" borderId="42" xfId="35" applyFont="1" applyFill="1" applyBorder="1" applyAlignment="1">
      <alignment horizontal="center" vertical="center" wrapText="1"/>
    </xf>
    <xf numFmtId="0" fontId="75" fillId="16" borderId="63" xfId="35" applyFont="1" applyFill="1" applyBorder="1" applyAlignment="1">
      <alignment horizontal="center" vertical="center" wrapText="1"/>
    </xf>
    <xf numFmtId="0" fontId="109" fillId="17" borderId="178" xfId="38" applyFont="1" applyFill="1" applyBorder="1" applyAlignment="1">
      <alignment horizontal="center" vertical="center"/>
    </xf>
    <xf numFmtId="0" fontId="109" fillId="17" borderId="115" xfId="38" applyFont="1" applyFill="1" applyBorder="1" applyAlignment="1">
      <alignment horizontal="center" vertical="center"/>
    </xf>
    <xf numFmtId="0" fontId="111" fillId="17" borderId="88" xfId="38" applyFont="1" applyFill="1" applyBorder="1" applyAlignment="1">
      <alignment horizontal="center" vertical="center"/>
    </xf>
    <xf numFmtId="0" fontId="111" fillId="17" borderId="43" xfId="38" applyFont="1" applyFill="1" applyBorder="1" applyAlignment="1">
      <alignment horizontal="center" vertical="center"/>
    </xf>
    <xf numFmtId="0" fontId="111" fillId="17" borderId="70" xfId="38" applyFont="1" applyFill="1" applyBorder="1" applyAlignment="1">
      <alignment horizontal="center" vertical="center"/>
    </xf>
    <xf numFmtId="0" fontId="111" fillId="17" borderId="49" xfId="38" applyFont="1" applyFill="1" applyBorder="1" applyAlignment="1">
      <alignment horizontal="center" vertical="center"/>
    </xf>
    <xf numFmtId="0" fontId="111" fillId="17" borderId="71" xfId="38" applyFont="1" applyFill="1" applyBorder="1" applyAlignment="1">
      <alignment horizontal="center" vertical="center"/>
    </xf>
    <xf numFmtId="0" fontId="111" fillId="17" borderId="64" xfId="38" applyFont="1" applyFill="1" applyBorder="1" applyAlignment="1">
      <alignment horizontal="center" vertical="center"/>
    </xf>
    <xf numFmtId="0" fontId="111" fillId="17" borderId="87" xfId="38" applyFont="1" applyFill="1" applyBorder="1" applyAlignment="1">
      <alignment horizontal="center" vertical="center"/>
    </xf>
    <xf numFmtId="0" fontId="111" fillId="17" borderId="15" xfId="38" applyFont="1" applyFill="1" applyBorder="1" applyAlignment="1">
      <alignment horizontal="center" vertical="center"/>
    </xf>
    <xf numFmtId="0" fontId="111" fillId="17" borderId="87" xfId="38" applyFont="1" applyFill="1" applyBorder="1" applyAlignment="1">
      <alignment horizontal="center" vertical="center" wrapText="1"/>
    </xf>
    <xf numFmtId="0" fontId="111" fillId="17" borderId="15" xfId="38" applyFont="1" applyFill="1" applyBorder="1" applyAlignment="1">
      <alignment horizontal="center" vertical="center" wrapText="1"/>
    </xf>
    <xf numFmtId="0" fontId="79" fillId="8" borderId="86" xfId="38" applyFont="1" applyFill="1" applyBorder="1" applyAlignment="1">
      <alignment horizontal="center" vertical="center"/>
    </xf>
    <xf numFmtId="0" fontId="79" fillId="8" borderId="20" xfId="38" applyFont="1" applyFill="1" applyBorder="1" applyAlignment="1">
      <alignment horizontal="center" vertical="center"/>
    </xf>
    <xf numFmtId="0" fontId="79" fillId="8" borderId="173" xfId="38" applyFont="1" applyFill="1" applyBorder="1" applyAlignment="1">
      <alignment horizontal="center" vertical="center"/>
    </xf>
    <xf numFmtId="0" fontId="76" fillId="29" borderId="86" xfId="38" applyFont="1" applyFill="1" applyBorder="1" applyAlignment="1">
      <alignment vertical="center" wrapText="1"/>
    </xf>
    <xf numFmtId="0" fontId="76" fillId="29" borderId="20" xfId="38" applyFont="1" applyFill="1" applyBorder="1" applyAlignment="1">
      <alignment vertical="center" wrapText="1"/>
    </xf>
    <xf numFmtId="0" fontId="76" fillId="29" borderId="94" xfId="38" applyFont="1" applyFill="1" applyBorder="1" applyAlignment="1">
      <alignment vertical="center" wrapText="1"/>
    </xf>
    <xf numFmtId="0" fontId="105" fillId="0" borderId="0" xfId="45" applyFont="1" applyAlignment="1">
      <alignment horizontal="center" textRotation="255"/>
    </xf>
    <xf numFmtId="0" fontId="111" fillId="17" borderId="89" xfId="38" applyFont="1" applyFill="1" applyBorder="1" applyAlignment="1">
      <alignment horizontal="center" vertical="center" wrapText="1"/>
    </xf>
    <xf numFmtId="0" fontId="111" fillId="17" borderId="112" xfId="38" applyFont="1" applyFill="1" applyBorder="1" applyAlignment="1">
      <alignment horizontal="center" vertical="center" wrapText="1"/>
    </xf>
    <xf numFmtId="0" fontId="111" fillId="17" borderId="138" xfId="38" applyFont="1" applyFill="1" applyBorder="1" applyAlignment="1">
      <alignment horizontal="center" vertical="center" wrapText="1"/>
    </xf>
    <xf numFmtId="0" fontId="111" fillId="17" borderId="93" xfId="38" applyFont="1" applyFill="1" applyBorder="1" applyAlignment="1">
      <alignment horizontal="center" vertical="center" wrapText="1"/>
    </xf>
    <xf numFmtId="0" fontId="111" fillId="17" borderId="50" xfId="38" applyFont="1" applyFill="1" applyBorder="1" applyAlignment="1">
      <alignment horizontal="center" vertical="center" wrapText="1"/>
    </xf>
    <xf numFmtId="0" fontId="111" fillId="17" borderId="39" xfId="38" applyFont="1" applyFill="1" applyBorder="1" applyAlignment="1">
      <alignment horizontal="center" vertical="center"/>
    </xf>
    <xf numFmtId="0" fontId="111" fillId="17" borderId="38" xfId="38" applyFont="1" applyFill="1" applyBorder="1" applyAlignment="1">
      <alignment horizontal="center" vertical="center"/>
    </xf>
    <xf numFmtId="0" fontId="112" fillId="31" borderId="114" xfId="38" applyFont="1" applyFill="1" applyBorder="1" applyAlignment="1">
      <alignment horizontal="center" vertical="center"/>
    </xf>
    <xf numFmtId="0" fontId="112" fillId="31" borderId="103" xfId="38" applyFont="1" applyFill="1" applyBorder="1" applyAlignment="1">
      <alignment horizontal="center" vertical="center"/>
    </xf>
    <xf numFmtId="0" fontId="112" fillId="31" borderId="104" xfId="38" applyFont="1" applyFill="1" applyBorder="1" applyAlignment="1">
      <alignment horizontal="center" vertical="center"/>
    </xf>
    <xf numFmtId="0" fontId="19" fillId="0" borderId="24" xfId="0" applyFont="1" applyBorder="1" applyAlignment="1">
      <alignment horizontal="center" vertical="center"/>
    </xf>
    <xf numFmtId="10" fontId="19" fillId="0" borderId="30" xfId="18" applyNumberFormat="1" applyFont="1" applyFill="1" applyBorder="1" applyAlignment="1" applyProtection="1">
      <alignment horizontal="center" vertical="center"/>
    </xf>
    <xf numFmtId="175" fontId="19" fillId="0" borderId="31" xfId="25" applyFont="1" applyFill="1" applyBorder="1" applyAlignment="1" applyProtection="1">
      <alignment horizontal="center" vertical="center"/>
    </xf>
    <xf numFmtId="0" fontId="19" fillId="0" borderId="30" xfId="0" applyFont="1" applyBorder="1" applyAlignment="1">
      <alignment horizontal="justify" vertical="center" wrapText="1"/>
    </xf>
    <xf numFmtId="0" fontId="19" fillId="9" borderId="64" xfId="0" applyFont="1" applyFill="1" applyBorder="1" applyAlignment="1">
      <alignment horizontal="center" vertical="center"/>
    </xf>
    <xf numFmtId="0" fontId="19" fillId="9" borderId="50" xfId="0" applyFont="1" applyFill="1" applyBorder="1" applyAlignment="1">
      <alignment horizontal="center" vertical="center"/>
    </xf>
    <xf numFmtId="0" fontId="19" fillId="0" borderId="92" xfId="0" applyFont="1" applyBorder="1" applyAlignment="1">
      <alignment horizontal="center" vertical="center"/>
    </xf>
    <xf numFmtId="0" fontId="19" fillId="0" borderId="57" xfId="0" applyFont="1" applyBorder="1" applyAlignment="1">
      <alignment horizontal="center" vertical="center"/>
    </xf>
    <xf numFmtId="0" fontId="19" fillId="0" borderId="30" xfId="0" applyFont="1" applyBorder="1" applyAlignment="1">
      <alignment horizontal="center" vertical="center"/>
    </xf>
    <xf numFmtId="0" fontId="19" fillId="0" borderId="90" xfId="0" applyFont="1" applyBorder="1" applyAlignment="1">
      <alignment horizontal="center" vertical="justify"/>
    </xf>
    <xf numFmtId="0" fontId="19" fillId="0" borderId="31" xfId="0" applyFont="1" applyBorder="1" applyAlignment="1">
      <alignment horizontal="center" vertical="justify"/>
    </xf>
    <xf numFmtId="0" fontId="60" fillId="0" borderId="0" xfId="0" applyFont="1" applyAlignment="1">
      <alignment horizontal="center"/>
    </xf>
    <xf numFmtId="0" fontId="19" fillId="0" borderId="24" xfId="0" applyFont="1" applyBorder="1" applyAlignment="1">
      <alignment horizontal="center" vertical="center" wrapText="1"/>
    </xf>
    <xf numFmtId="0" fontId="19" fillId="0" borderId="32" xfId="0" applyFont="1" applyBorder="1" applyAlignment="1">
      <alignment horizontal="center" vertical="center" wrapText="1"/>
    </xf>
    <xf numFmtId="10" fontId="19" fillId="0" borderId="33" xfId="18" applyNumberFormat="1" applyFont="1" applyFill="1" applyBorder="1" applyAlignment="1" applyProtection="1">
      <alignment horizontal="center" vertical="center"/>
    </xf>
    <xf numFmtId="175" fontId="19" fillId="0" borderId="34" xfId="25" applyFont="1" applyFill="1" applyBorder="1" applyAlignment="1" applyProtection="1">
      <alignment horizontal="center" vertical="center"/>
    </xf>
    <xf numFmtId="0" fontId="19" fillId="9" borderId="86" xfId="0" applyFont="1" applyFill="1" applyBorder="1" applyAlignment="1">
      <alignment horizontal="center" vertical="center"/>
    </xf>
    <xf numFmtId="0" fontId="19" fillId="9" borderId="20" xfId="0" applyFont="1" applyFill="1" applyBorder="1" applyAlignment="1">
      <alignment horizontal="center" vertical="center"/>
    </xf>
    <xf numFmtId="0" fontId="19" fillId="9" borderId="94" xfId="0" applyFont="1" applyFill="1" applyBorder="1" applyAlignment="1">
      <alignment horizontal="center" vertical="center"/>
    </xf>
    <xf numFmtId="0" fontId="52" fillId="10" borderId="22" xfId="0" applyFont="1" applyFill="1" applyBorder="1" applyAlignment="1">
      <alignment horizontal="center"/>
    </xf>
    <xf numFmtId="0" fontId="52" fillId="10" borderId="43" xfId="0" applyFont="1" applyFill="1" applyBorder="1" applyAlignment="1">
      <alignment horizontal="center"/>
    </xf>
    <xf numFmtId="0" fontId="52" fillId="10" borderId="44" xfId="0" applyFont="1" applyFill="1" applyBorder="1" applyAlignment="1">
      <alignment horizontal="center"/>
    </xf>
    <xf numFmtId="0" fontId="52" fillId="10" borderId="35" xfId="0" applyFont="1" applyFill="1" applyBorder="1" applyAlignment="1">
      <alignment horizontal="center"/>
    </xf>
    <xf numFmtId="0" fontId="52" fillId="10" borderId="0" xfId="0" applyFont="1" applyFill="1" applyAlignment="1">
      <alignment horizontal="center"/>
    </xf>
    <xf numFmtId="0" fontId="52" fillId="10" borderId="29" xfId="0" applyFont="1" applyFill="1" applyBorder="1" applyAlignment="1">
      <alignment horizontal="center"/>
    </xf>
    <xf numFmtId="165" fontId="26" fillId="18" borderId="23" xfId="12" applyNumberFormat="1" applyFont="1" applyFill="1" applyBorder="1" applyAlignment="1">
      <alignment horizontal="center" vertical="center" wrapText="1"/>
    </xf>
    <xf numFmtId="165" fontId="26" fillId="18" borderId="51" xfId="12" applyNumberFormat="1" applyFont="1" applyFill="1" applyBorder="1" applyAlignment="1">
      <alignment horizontal="center" vertical="center" wrapText="1"/>
    </xf>
    <xf numFmtId="165" fontId="26" fillId="18" borderId="52" xfId="12" applyNumberFormat="1" applyFont="1" applyFill="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Alignment="1">
      <alignment horizontal="center" vertical="center" wrapText="1"/>
    </xf>
    <xf numFmtId="0" fontId="24" fillId="0" borderId="29" xfId="0" applyFont="1" applyBorder="1" applyAlignment="1">
      <alignment horizontal="center" vertical="center" wrapText="1"/>
    </xf>
    <xf numFmtId="0" fontId="26" fillId="10" borderId="35" xfId="0" applyFont="1" applyFill="1" applyBorder="1" applyAlignment="1">
      <alignment horizontal="center" vertical="center"/>
    </xf>
    <xf numFmtId="0" fontId="26" fillId="10" borderId="0" xfId="0" applyFont="1" applyFill="1" applyAlignment="1">
      <alignment horizontal="center" vertical="center"/>
    </xf>
    <xf numFmtId="0" fontId="26" fillId="10" borderId="29" xfId="0" applyFont="1" applyFill="1" applyBorder="1" applyAlignment="1">
      <alignment horizontal="center" vertical="center"/>
    </xf>
    <xf numFmtId="0" fontId="13" fillId="10" borderId="35" xfId="0" applyFont="1" applyFill="1" applyBorder="1" applyAlignment="1">
      <alignment horizontal="center" vertical="center"/>
    </xf>
    <xf numFmtId="0" fontId="13" fillId="10" borderId="0" xfId="0" applyFont="1" applyFill="1" applyAlignment="1">
      <alignment horizontal="center" vertical="center"/>
    </xf>
    <xf numFmtId="0" fontId="13" fillId="10" borderId="29" xfId="0" applyFont="1" applyFill="1" applyBorder="1" applyAlignment="1">
      <alignment horizontal="center" vertical="center"/>
    </xf>
    <xf numFmtId="49" fontId="13" fillId="10" borderId="35" xfId="0" applyNumberFormat="1" applyFont="1" applyFill="1" applyBorder="1" applyAlignment="1">
      <alignment horizontal="center" vertical="center"/>
    </xf>
    <xf numFmtId="49" fontId="13" fillId="10" borderId="0" xfId="0" applyNumberFormat="1" applyFont="1" applyFill="1" applyAlignment="1">
      <alignment horizontal="center" vertical="center"/>
    </xf>
    <xf numFmtId="49" fontId="13" fillId="10" borderId="29" xfId="0" applyNumberFormat="1" applyFont="1" applyFill="1" applyBorder="1" applyAlignment="1">
      <alignment horizontal="center" vertical="center"/>
    </xf>
    <xf numFmtId="0" fontId="13" fillId="0" borderId="0" xfId="0" applyFont="1" applyAlignment="1">
      <alignment horizontal="center" vertical="center" wrapText="1"/>
    </xf>
    <xf numFmtId="0" fontId="13" fillId="0" borderId="29" xfId="0" applyFont="1" applyBorder="1" applyAlignment="1">
      <alignment horizontal="center" vertical="center" wrapText="1"/>
    </xf>
    <xf numFmtId="49" fontId="19" fillId="10" borderId="23" xfId="0" applyNumberFormat="1" applyFont="1" applyFill="1" applyBorder="1" applyAlignment="1">
      <alignment horizontal="center" vertical="center"/>
    </xf>
    <xf numFmtId="49" fontId="19" fillId="10" borderId="51" xfId="0" applyNumberFormat="1" applyFont="1" applyFill="1" applyBorder="1" applyAlignment="1">
      <alignment horizontal="center" vertical="center"/>
    </xf>
    <xf numFmtId="49" fontId="19" fillId="10" borderId="52" xfId="0" applyNumberFormat="1" applyFont="1" applyFill="1" applyBorder="1" applyAlignment="1">
      <alignment horizontal="center" vertical="center"/>
    </xf>
    <xf numFmtId="0" fontId="19" fillId="9" borderId="14" xfId="0" applyFont="1" applyFill="1" applyBorder="1" applyAlignment="1">
      <alignment horizontal="center" vertical="center"/>
    </xf>
    <xf numFmtId="0" fontId="28" fillId="8" borderId="31" xfId="0" applyFont="1" applyFill="1" applyBorder="1" applyAlignment="1">
      <alignment horizontal="center" vertical="center" wrapText="1"/>
    </xf>
    <xf numFmtId="165" fontId="10" fillId="18" borderId="62" xfId="12" applyNumberFormat="1" applyFont="1" applyFill="1" applyBorder="1" applyAlignment="1">
      <alignment horizontal="center" vertical="center" wrapText="1"/>
    </xf>
    <xf numFmtId="165" fontId="10" fillId="18" borderId="83" xfId="12" applyNumberFormat="1" applyFont="1" applyFill="1" applyBorder="1" applyAlignment="1">
      <alignment horizontal="center" vertical="center" wrapText="1"/>
    </xf>
    <xf numFmtId="165" fontId="10" fillId="18" borderId="60" xfId="12" applyNumberFormat="1" applyFont="1" applyFill="1" applyBorder="1" applyAlignment="1">
      <alignment horizontal="center" vertical="center" wrapText="1"/>
    </xf>
    <xf numFmtId="0" fontId="28" fillId="8" borderId="25" xfId="0" applyFont="1" applyFill="1" applyBorder="1" applyAlignment="1">
      <alignment horizontal="center" vertical="center" wrapText="1"/>
    </xf>
    <xf numFmtId="0" fontId="28" fillId="8" borderId="14" xfId="0" applyFont="1" applyFill="1" applyBorder="1" applyAlignment="1">
      <alignment horizontal="center" vertical="center" wrapText="1"/>
    </xf>
    <xf numFmtId="0" fontId="28" fillId="8" borderId="45" xfId="0" applyFont="1" applyFill="1" applyBorder="1" applyAlignment="1">
      <alignment horizontal="center" vertical="center" wrapText="1"/>
    </xf>
    <xf numFmtId="0" fontId="28" fillId="8" borderId="15" xfId="0" applyFont="1" applyFill="1" applyBorder="1" applyAlignment="1">
      <alignment horizontal="center" vertical="center" wrapText="1"/>
    </xf>
    <xf numFmtId="165" fontId="10" fillId="18" borderId="78" xfId="12" applyNumberFormat="1" applyFont="1" applyFill="1" applyBorder="1" applyAlignment="1">
      <alignment horizontal="center" vertical="center" wrapText="1"/>
    </xf>
    <xf numFmtId="165" fontId="10" fillId="18" borderId="79" xfId="12" applyNumberFormat="1" applyFont="1" applyFill="1" applyBorder="1" applyAlignment="1">
      <alignment horizontal="center" vertical="center" wrapText="1"/>
    </xf>
    <xf numFmtId="165" fontId="10" fillId="18" borderId="80" xfId="12" applyNumberFormat="1" applyFont="1" applyFill="1" applyBorder="1" applyAlignment="1">
      <alignment horizontal="center" vertical="center" wrapText="1"/>
    </xf>
    <xf numFmtId="169" fontId="27" fillId="10" borderId="0" xfId="0" applyNumberFormat="1" applyFont="1" applyFill="1" applyAlignment="1">
      <alignment horizontal="left" vertical="center" wrapText="1"/>
    </xf>
    <xf numFmtId="0" fontId="27" fillId="10" borderId="22" xfId="0" applyFont="1" applyFill="1" applyBorder="1" applyAlignment="1">
      <alignment horizontal="center" vertical="center"/>
    </xf>
    <xf numFmtId="0" fontId="27" fillId="10" borderId="43" xfId="0" applyFont="1" applyFill="1" applyBorder="1" applyAlignment="1">
      <alignment horizontal="center" vertical="center"/>
    </xf>
    <xf numFmtId="0" fontId="27" fillId="10" borderId="44" xfId="0" applyFont="1" applyFill="1" applyBorder="1" applyAlignment="1">
      <alignment horizontal="center" vertical="center"/>
    </xf>
    <xf numFmtId="0" fontId="27" fillId="10" borderId="35" xfId="0" applyFont="1" applyFill="1" applyBorder="1" applyAlignment="1">
      <alignment horizontal="center" vertical="center"/>
    </xf>
    <xf numFmtId="0" fontId="27" fillId="10" borderId="0" xfId="0" applyFont="1" applyFill="1" applyAlignment="1">
      <alignment horizontal="center" vertical="center"/>
    </xf>
    <xf numFmtId="0" fontId="27" fillId="10" borderId="29" xfId="0" applyFont="1" applyFill="1" applyBorder="1" applyAlignment="1">
      <alignment horizontal="center" vertical="center"/>
    </xf>
    <xf numFmtId="0" fontId="27" fillId="10" borderId="29" xfId="0" applyFont="1" applyFill="1" applyBorder="1" applyAlignment="1">
      <alignment horizontal="center" vertical="center" wrapText="1"/>
    </xf>
    <xf numFmtId="0" fontId="18" fillId="10" borderId="29" xfId="0" applyFont="1" applyFill="1" applyBorder="1" applyAlignment="1">
      <alignment horizontal="left" vertical="center" wrapText="1"/>
    </xf>
    <xf numFmtId="0" fontId="26" fillId="0" borderId="35" xfId="0" applyFont="1" applyBorder="1" applyAlignment="1">
      <alignment horizontal="center" vertical="center" wrapText="1"/>
    </xf>
    <xf numFmtId="0" fontId="26" fillId="0" borderId="0" xfId="0" applyFont="1" applyAlignment="1">
      <alignment horizontal="center" vertical="center" wrapText="1"/>
    </xf>
    <xf numFmtId="0" fontId="26" fillId="0" borderId="29" xfId="0" applyFont="1" applyBorder="1" applyAlignment="1">
      <alignment horizontal="center" vertical="center" wrapText="1"/>
    </xf>
    <xf numFmtId="0" fontId="26" fillId="0" borderId="0" xfId="0" applyFont="1" applyAlignment="1">
      <alignment horizontal="center" vertical="center"/>
    </xf>
    <xf numFmtId="0" fontId="26" fillId="21" borderId="28" xfId="0" applyFont="1" applyFill="1" applyBorder="1" applyAlignment="1">
      <alignment horizontal="center" vertical="center"/>
    </xf>
    <xf numFmtId="0" fontId="26" fillId="21" borderId="81" xfId="0" applyFont="1" applyFill="1" applyBorder="1" applyAlignment="1">
      <alignment horizontal="center" vertical="center"/>
    </xf>
    <xf numFmtId="0" fontId="26" fillId="10" borderId="35"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0" borderId="29" xfId="0" applyFont="1" applyFill="1" applyBorder="1" applyAlignment="1">
      <alignment horizontal="center" vertical="center" wrapText="1"/>
    </xf>
    <xf numFmtId="0" fontId="25" fillId="10" borderId="35" xfId="0" applyFont="1" applyFill="1" applyBorder="1" applyAlignment="1">
      <alignment horizontal="center" vertical="center" wrapText="1"/>
    </xf>
    <xf numFmtId="0" fontId="25" fillId="10" borderId="0" xfId="0" applyFont="1" applyFill="1" applyAlignment="1">
      <alignment horizontal="center" vertical="center" wrapText="1"/>
    </xf>
    <xf numFmtId="0" fontId="25" fillId="10" borderId="29" xfId="0" applyFont="1" applyFill="1" applyBorder="1" applyAlignment="1">
      <alignment horizontal="center" vertical="center" wrapText="1"/>
    </xf>
    <xf numFmtId="0" fontId="25" fillId="0" borderId="22" xfId="0" applyFont="1" applyBorder="1" applyAlignment="1">
      <alignment horizontal="center"/>
    </xf>
    <xf numFmtId="0" fontId="25" fillId="0" borderId="43" xfId="0" applyFont="1" applyBorder="1" applyAlignment="1">
      <alignment horizontal="center"/>
    </xf>
    <xf numFmtId="0" fontId="25" fillId="0" borderId="44" xfId="0" applyFont="1" applyBorder="1" applyAlignment="1">
      <alignment horizontal="center"/>
    </xf>
    <xf numFmtId="165" fontId="18" fillId="18" borderId="78" xfId="12" applyNumberFormat="1" applyFont="1" applyFill="1" applyBorder="1" applyAlignment="1">
      <alignment horizontal="center" vertical="center" wrapText="1"/>
    </xf>
    <xf numFmtId="165" fontId="18" fillId="18" borderId="79" xfId="12" applyNumberFormat="1" applyFont="1" applyFill="1" applyBorder="1" applyAlignment="1">
      <alignment horizontal="center" vertical="center" wrapText="1"/>
    </xf>
    <xf numFmtId="165" fontId="18" fillId="18" borderId="80" xfId="12" applyNumberFormat="1" applyFont="1" applyFill="1" applyBorder="1" applyAlignment="1">
      <alignment horizontal="center" vertical="center" wrapText="1"/>
    </xf>
    <xf numFmtId="186" fontId="86" fillId="0" borderId="0" xfId="39" applyNumberFormat="1" applyFont="1" applyAlignment="1">
      <alignment horizontal="justify" vertical="top"/>
    </xf>
    <xf numFmtId="14" fontId="86" fillId="0" borderId="71" xfId="39" applyNumberFormat="1" applyFont="1" applyBorder="1" applyAlignment="1">
      <alignment horizontal="left" vertical="center"/>
    </xf>
    <xf numFmtId="49" fontId="85" fillId="0" borderId="45" xfId="39" applyNumberFormat="1" applyFont="1" applyBorder="1" applyAlignment="1">
      <alignment horizontal="center" vertical="center"/>
    </xf>
    <xf numFmtId="49" fontId="85" fillId="0" borderId="15" xfId="39" applyNumberFormat="1" applyFont="1" applyBorder="1" applyAlignment="1">
      <alignment horizontal="center" vertical="center"/>
    </xf>
    <xf numFmtId="186" fontId="85" fillId="0" borderId="45" xfId="39" applyNumberFormat="1" applyFont="1" applyBorder="1" applyAlignment="1">
      <alignment horizontal="center" vertical="center" wrapText="1"/>
    </xf>
    <xf numFmtId="186" fontId="85" fillId="0" borderId="15" xfId="39" applyNumberFormat="1" applyFont="1" applyBorder="1" applyAlignment="1">
      <alignment horizontal="center" vertical="center" wrapText="1"/>
    </xf>
    <xf numFmtId="186" fontId="85" fillId="0" borderId="45" xfId="39" applyNumberFormat="1" applyFont="1" applyBorder="1" applyAlignment="1">
      <alignment horizontal="center" vertical="center"/>
    </xf>
    <xf numFmtId="186" fontId="85" fillId="0" borderId="15" xfId="39" applyNumberFormat="1" applyFont="1" applyBorder="1" applyAlignment="1">
      <alignment horizontal="center" vertical="center"/>
    </xf>
    <xf numFmtId="186" fontId="85" fillId="0" borderId="39" xfId="39" applyNumberFormat="1" applyFont="1" applyBorder="1" applyAlignment="1">
      <alignment horizontal="center" vertical="center" wrapText="1"/>
    </xf>
    <xf numFmtId="186" fontId="85" fillId="0" borderId="38" xfId="39" applyNumberFormat="1" applyFont="1" applyBorder="1" applyAlignment="1">
      <alignment horizontal="center" vertical="center" wrapText="1"/>
    </xf>
    <xf numFmtId="186" fontId="86" fillId="0" borderId="39" xfId="39" applyNumberFormat="1" applyFont="1" applyBorder="1" applyAlignment="1">
      <alignment horizontal="right" vertical="center" wrapText="1"/>
    </xf>
    <xf numFmtId="186" fontId="86" fillId="0" borderId="37" xfId="39" applyNumberFormat="1" applyFont="1" applyBorder="1" applyAlignment="1">
      <alignment horizontal="right" vertical="center" wrapText="1"/>
    </xf>
    <xf numFmtId="186" fontId="86" fillId="0" borderId="38" xfId="39" applyNumberFormat="1" applyFont="1" applyBorder="1" applyAlignment="1">
      <alignment horizontal="right" vertical="center" wrapText="1"/>
    </xf>
    <xf numFmtId="0" fontId="93" fillId="0" borderId="114" xfId="38" applyFont="1" applyBorder="1" applyAlignment="1">
      <alignment horizontal="center" vertical="center"/>
    </xf>
    <xf numFmtId="0" fontId="93" fillId="0" borderId="48" xfId="38" applyFont="1" applyBorder="1" applyAlignment="1">
      <alignment horizontal="center" vertical="center"/>
    </xf>
    <xf numFmtId="0" fontId="93" fillId="0" borderId="49" xfId="38" applyFont="1" applyBorder="1" applyAlignment="1">
      <alignment horizontal="center" vertical="center"/>
    </xf>
    <xf numFmtId="0" fontId="94" fillId="0" borderId="103" xfId="38" applyFont="1" applyBorder="1" applyAlignment="1">
      <alignment horizontal="center" vertical="center"/>
    </xf>
    <xf numFmtId="0" fontId="94" fillId="0" borderId="104" xfId="38" applyFont="1" applyBorder="1" applyAlignment="1">
      <alignment horizontal="center" vertical="center"/>
    </xf>
    <xf numFmtId="0" fontId="94" fillId="0" borderId="0" xfId="38" applyFont="1" applyAlignment="1">
      <alignment horizontal="center" vertical="center"/>
    </xf>
    <xf numFmtId="0" fontId="94" fillId="0" borderId="98" xfId="38" applyFont="1" applyBorder="1" applyAlignment="1">
      <alignment horizontal="center" vertical="center"/>
    </xf>
    <xf numFmtId="0" fontId="94" fillId="0" borderId="71" xfId="38" applyFont="1" applyBorder="1" applyAlignment="1">
      <alignment horizontal="center" vertical="center"/>
    </xf>
    <xf numFmtId="0" fontId="94" fillId="0" borderId="64" xfId="38" applyFont="1" applyBorder="1" applyAlignment="1">
      <alignment horizontal="center" vertical="center"/>
    </xf>
    <xf numFmtId="0" fontId="90" fillId="4" borderId="142" xfId="38" applyFont="1" applyFill="1" applyBorder="1" applyAlignment="1">
      <alignment horizontal="center" vertical="center"/>
    </xf>
    <xf numFmtId="0" fontId="90" fillId="4" borderId="143" xfId="38" applyFont="1" applyFill="1" applyBorder="1" applyAlignment="1">
      <alignment horizontal="center" vertical="center"/>
    </xf>
    <xf numFmtId="0" fontId="90" fillId="4" borderId="144" xfId="38" applyFont="1" applyFill="1" applyBorder="1" applyAlignment="1">
      <alignment horizontal="center" vertical="center"/>
    </xf>
    <xf numFmtId="0" fontId="90" fillId="4" borderId="145" xfId="38" applyFont="1" applyFill="1" applyBorder="1" applyAlignment="1">
      <alignment horizontal="center" vertical="center"/>
    </xf>
    <xf numFmtId="0" fontId="90" fillId="4" borderId="147" xfId="38" applyFont="1" applyFill="1" applyBorder="1" applyAlignment="1">
      <alignment horizontal="center" vertical="center"/>
    </xf>
    <xf numFmtId="0" fontId="90" fillId="4" borderId="148" xfId="38" applyFont="1" applyFill="1" applyBorder="1" applyAlignment="1">
      <alignment horizontal="center" vertical="center"/>
    </xf>
    <xf numFmtId="0" fontId="90" fillId="4" borderId="143" xfId="38" applyFont="1" applyFill="1" applyBorder="1" applyAlignment="1">
      <alignment horizontal="center" vertical="center" wrapText="1"/>
    </xf>
    <xf numFmtId="0" fontId="90" fillId="4" borderId="145" xfId="38" applyFont="1" applyFill="1" applyBorder="1" applyAlignment="1">
      <alignment horizontal="center" vertical="center" wrapText="1"/>
    </xf>
    <xf numFmtId="0" fontId="90" fillId="4" borderId="259" xfId="38" applyFont="1" applyFill="1" applyBorder="1" applyAlignment="1">
      <alignment horizontal="center" vertical="center"/>
    </xf>
    <xf numFmtId="0" fontId="90" fillId="4" borderId="260" xfId="38" applyFont="1" applyFill="1" applyBorder="1" applyAlignment="1">
      <alignment horizontal="center" vertical="center"/>
    </xf>
    <xf numFmtId="165" fontId="90" fillId="4" borderId="143" xfId="26" applyFont="1" applyFill="1" applyBorder="1" applyAlignment="1">
      <alignment horizontal="center" vertical="center" wrapText="1"/>
    </xf>
    <xf numFmtId="165" fontId="90" fillId="4" borderId="145" xfId="26" applyFont="1" applyFill="1" applyBorder="1" applyAlignment="1">
      <alignment horizontal="center" vertical="center" wrapText="1"/>
    </xf>
    <xf numFmtId="0" fontId="90" fillId="2" borderId="129" xfId="38" applyFont="1" applyFill="1" applyBorder="1" applyAlignment="1">
      <alignment horizontal="center" vertical="center"/>
    </xf>
    <xf numFmtId="0" fontId="90" fillId="2" borderId="149" xfId="38" applyFont="1" applyFill="1" applyBorder="1" applyAlignment="1">
      <alignment horizontal="center" vertical="center"/>
    </xf>
    <xf numFmtId="0" fontId="90" fillId="2" borderId="150" xfId="38" applyFont="1" applyFill="1" applyBorder="1" applyAlignment="1">
      <alignment horizontal="center" vertical="center"/>
    </xf>
    <xf numFmtId="0" fontId="97" fillId="0" borderId="144" xfId="39" applyFont="1" applyBorder="1" applyAlignment="1">
      <alignment horizontal="left" vertical="center"/>
    </xf>
    <xf numFmtId="0" fontId="97" fillId="0" borderId="145" xfId="39" applyFont="1" applyBorder="1" applyAlignment="1">
      <alignment horizontal="left" vertical="center"/>
    </xf>
    <xf numFmtId="0" fontId="97" fillId="0" borderId="153" xfId="38" applyFont="1" applyBorder="1" applyAlignment="1">
      <alignment horizontal="center" vertical="center"/>
    </xf>
    <xf numFmtId="0" fontId="97" fillId="0" borderId="154" xfId="38" applyFont="1" applyBorder="1" applyAlignment="1">
      <alignment horizontal="center" vertical="center"/>
    </xf>
    <xf numFmtId="1" fontId="97" fillId="0" borderId="154" xfId="38" applyNumberFormat="1" applyFont="1" applyBorder="1" applyAlignment="1">
      <alignment horizontal="center" vertical="center"/>
    </xf>
    <xf numFmtId="14" fontId="90" fillId="29" borderId="155" xfId="38" applyNumberFormat="1" applyFont="1" applyFill="1" applyBorder="1" applyAlignment="1">
      <alignment horizontal="center" vertical="center"/>
    </xf>
    <xf numFmtId="14" fontId="90" fillId="29" borderId="156" xfId="38" applyNumberFormat="1" applyFont="1" applyFill="1" applyBorder="1" applyAlignment="1">
      <alignment horizontal="center" vertical="center"/>
    </xf>
    <xf numFmtId="0" fontId="90" fillId="4" borderId="86" xfId="38" applyFont="1" applyFill="1" applyBorder="1" applyAlignment="1">
      <alignment horizontal="center" vertical="justify"/>
    </xf>
    <xf numFmtId="0" fontId="90" fillId="4" borderId="20" xfId="38" applyFont="1" applyFill="1" applyBorder="1" applyAlignment="1">
      <alignment horizontal="center" vertical="justify"/>
    </xf>
    <xf numFmtId="0" fontId="90" fillId="4" borderId="94" xfId="38" applyFont="1" applyFill="1" applyBorder="1" applyAlignment="1">
      <alignment horizontal="center" vertical="justify"/>
    </xf>
    <xf numFmtId="0" fontId="90" fillId="4" borderId="22" xfId="38" applyFont="1" applyFill="1" applyBorder="1" applyAlignment="1">
      <alignment horizontal="center" vertical="center"/>
    </xf>
    <xf numFmtId="0" fontId="90" fillId="4" borderId="43" xfId="38" applyFont="1" applyFill="1" applyBorder="1" applyAlignment="1">
      <alignment horizontal="center" vertical="center"/>
    </xf>
    <xf numFmtId="0" fontId="90" fillId="4" borderId="70" xfId="38" applyFont="1" applyFill="1" applyBorder="1" applyAlignment="1">
      <alignment horizontal="center" vertical="center"/>
    </xf>
    <xf numFmtId="0" fontId="90" fillId="4" borderId="35" xfId="38" applyFont="1" applyFill="1" applyBorder="1" applyAlignment="1">
      <alignment horizontal="center" vertical="center"/>
    </xf>
    <xf numFmtId="0" fontId="90" fillId="4" borderId="0" xfId="38" applyFont="1" applyFill="1" applyAlignment="1">
      <alignment horizontal="center" vertical="center"/>
    </xf>
    <xf numFmtId="0" fontId="90" fillId="4" borderId="98" xfId="38" applyFont="1" applyFill="1" applyBorder="1" applyAlignment="1">
      <alignment horizontal="center" vertical="center"/>
    </xf>
    <xf numFmtId="0" fontId="90" fillId="4" borderId="41" xfId="38" applyFont="1" applyFill="1" applyBorder="1" applyAlignment="1">
      <alignment horizontal="center" vertical="center"/>
    </xf>
    <xf numFmtId="0" fontId="90" fillId="4" borderId="42" xfId="38" applyFont="1" applyFill="1" applyBorder="1" applyAlignment="1">
      <alignment horizontal="center" vertical="center"/>
    </xf>
    <xf numFmtId="0" fontId="90" fillId="4" borderId="82" xfId="38" applyFont="1" applyFill="1" applyBorder="1" applyAlignment="1">
      <alignment horizontal="center" vertical="center"/>
    </xf>
    <xf numFmtId="0" fontId="90" fillId="4" borderId="157" xfId="38" applyFont="1" applyFill="1" applyBorder="1" applyAlignment="1">
      <alignment horizontal="center" vertical="center"/>
    </xf>
    <xf numFmtId="0" fontId="90" fillId="4" borderId="159" xfId="38" applyFont="1" applyFill="1" applyBorder="1" applyAlignment="1">
      <alignment horizontal="center" vertical="center"/>
    </xf>
    <xf numFmtId="0" fontId="90" fillId="4" borderId="161" xfId="38" applyFont="1" applyFill="1" applyBorder="1" applyAlignment="1">
      <alignment horizontal="center" vertical="center"/>
    </xf>
    <xf numFmtId="0" fontId="90" fillId="4" borderId="111" xfId="38" applyFont="1" applyFill="1" applyBorder="1" applyAlignment="1">
      <alignment horizontal="center" vertical="center"/>
    </xf>
    <xf numFmtId="0" fontId="90" fillId="4" borderId="112" xfId="38" applyFont="1" applyFill="1" applyBorder="1" applyAlignment="1">
      <alignment horizontal="center" vertical="center"/>
    </xf>
    <xf numFmtId="0" fontId="90" fillId="4" borderId="138" xfId="38" applyFont="1" applyFill="1" applyBorder="1" applyAlignment="1">
      <alignment horizontal="center" vertical="center"/>
    </xf>
    <xf numFmtId="0" fontId="90" fillId="4" borderId="56" xfId="38" applyFont="1" applyFill="1" applyBorder="1" applyAlignment="1">
      <alignment horizontal="center" vertical="center"/>
    </xf>
    <xf numFmtId="0" fontId="90" fillId="4" borderId="71" xfId="38" applyFont="1" applyFill="1" applyBorder="1" applyAlignment="1">
      <alignment horizontal="center" vertical="center"/>
    </xf>
    <xf numFmtId="0" fontId="90" fillId="4" borderId="64" xfId="38" applyFont="1" applyFill="1" applyBorder="1" applyAlignment="1">
      <alignment horizontal="center" vertical="center"/>
    </xf>
    <xf numFmtId="0" fontId="90" fillId="4" borderId="36" xfId="38" applyFont="1" applyFill="1" applyBorder="1" applyAlignment="1">
      <alignment horizontal="center" vertical="center"/>
    </xf>
    <xf numFmtId="0" fontId="90" fillId="4" borderId="37" xfId="38" applyFont="1" applyFill="1" applyBorder="1" applyAlignment="1">
      <alignment horizontal="center" vertical="center"/>
    </xf>
    <xf numFmtId="0" fontId="90" fillId="4" borderId="38" xfId="38" applyFont="1" applyFill="1" applyBorder="1" applyAlignment="1">
      <alignment horizontal="center" vertical="center"/>
    </xf>
    <xf numFmtId="0" fontId="90" fillId="4" borderId="62" xfId="38" applyFont="1" applyFill="1" applyBorder="1" applyAlignment="1">
      <alignment horizontal="center" vertical="center"/>
    </xf>
    <xf numFmtId="0" fontId="90" fillId="4" borderId="83" xfId="38" applyFont="1" applyFill="1" applyBorder="1" applyAlignment="1">
      <alignment horizontal="center" vertical="center"/>
    </xf>
    <xf numFmtId="0" fontId="90" fillId="4" borderId="60" xfId="38" applyFont="1" applyFill="1" applyBorder="1" applyAlignment="1">
      <alignment horizontal="center" vertical="center"/>
    </xf>
    <xf numFmtId="2" fontId="101" fillId="0" borderId="0" xfId="38" applyNumberFormat="1" applyFont="1" applyAlignment="1">
      <alignment horizontal="left" vertical="center"/>
    </xf>
    <xf numFmtId="4" fontId="90" fillId="0" borderId="0" xfId="38" applyNumberFormat="1" applyFont="1" applyAlignment="1">
      <alignment horizontal="center" vertical="center"/>
    </xf>
    <xf numFmtId="2" fontId="100" fillId="0" borderId="0" xfId="38" applyNumberFormat="1" applyFont="1" applyAlignment="1">
      <alignment horizontal="center" vertical="center"/>
    </xf>
    <xf numFmtId="2" fontId="90" fillId="3" borderId="70" xfId="38" applyNumberFormat="1" applyFont="1" applyFill="1" applyBorder="1" applyAlignment="1">
      <alignment horizontal="center" vertical="center"/>
    </xf>
    <xf numFmtId="2" fontId="90" fillId="3" borderId="82" xfId="38" applyNumberFormat="1" applyFont="1" applyFill="1" applyBorder="1" applyAlignment="1">
      <alignment horizontal="center" vertical="center"/>
    </xf>
    <xf numFmtId="2" fontId="90" fillId="3" borderId="93" xfId="38" applyNumberFormat="1" applyFont="1" applyFill="1" applyBorder="1" applyAlignment="1">
      <alignment horizontal="center" vertical="center"/>
    </xf>
    <xf numFmtId="2" fontId="90" fillId="3" borderId="162" xfId="38" applyNumberFormat="1" applyFont="1" applyFill="1" applyBorder="1" applyAlignment="1">
      <alignment horizontal="center" vertical="center"/>
    </xf>
    <xf numFmtId="0" fontId="99" fillId="0" borderId="0" xfId="38" applyFont="1" applyAlignment="1">
      <alignment horizontal="center" vertical="justify"/>
    </xf>
    <xf numFmtId="2" fontId="99" fillId="0" borderId="0" xfId="38" applyNumberFormat="1" applyFont="1" applyAlignment="1">
      <alignment horizontal="center" vertical="center"/>
    </xf>
    <xf numFmtId="0" fontId="90" fillId="29" borderId="22" xfId="38" applyFont="1" applyFill="1" applyBorder="1" applyAlignment="1">
      <alignment horizontal="center" vertical="center" wrapText="1"/>
    </xf>
    <xf numFmtId="0" fontId="90" fillId="29" borderId="43" xfId="38" applyFont="1" applyFill="1" applyBorder="1" applyAlignment="1">
      <alignment horizontal="center" vertical="center" wrapText="1"/>
    </xf>
    <xf numFmtId="0" fontId="90" fillId="29" borderId="70" xfId="38" applyFont="1" applyFill="1" applyBorder="1" applyAlignment="1">
      <alignment horizontal="center" vertical="center" wrapText="1"/>
    </xf>
    <xf numFmtId="0" fontId="90" fillId="29" borderId="41" xfId="38" applyFont="1" applyFill="1" applyBorder="1" applyAlignment="1">
      <alignment horizontal="center" vertical="center" wrapText="1"/>
    </xf>
    <xf numFmtId="0" fontId="90" fillId="29" borderId="42" xfId="38" applyFont="1" applyFill="1" applyBorder="1" applyAlignment="1">
      <alignment horizontal="center" vertical="center" wrapText="1"/>
    </xf>
    <xf numFmtId="0" fontId="90" fillId="29" borderId="82" xfId="38" applyFont="1" applyFill="1" applyBorder="1" applyAlignment="1">
      <alignment horizontal="center" vertical="center" wrapText="1"/>
    </xf>
    <xf numFmtId="0" fontId="90" fillId="2" borderId="86" xfId="38" applyFont="1" applyFill="1" applyBorder="1" applyAlignment="1">
      <alignment horizontal="center" vertical="center"/>
    </xf>
    <xf numFmtId="0" fontId="90" fillId="2" borderId="20" xfId="38" applyFont="1" applyFill="1" applyBorder="1" applyAlignment="1">
      <alignment horizontal="center" vertical="center"/>
    </xf>
    <xf numFmtId="0" fontId="90" fillId="2" borderId="94" xfId="38" applyFont="1" applyFill="1" applyBorder="1" applyAlignment="1">
      <alignment horizontal="center" vertical="center"/>
    </xf>
    <xf numFmtId="0" fontId="90" fillId="2" borderId="111" xfId="38" applyFont="1" applyFill="1" applyBorder="1" applyAlignment="1">
      <alignment horizontal="center" vertical="center" wrapText="1"/>
    </xf>
    <xf numFmtId="0" fontId="90" fillId="2" borderId="112" xfId="38" applyFont="1" applyFill="1" applyBorder="1" applyAlignment="1">
      <alignment horizontal="center" vertical="center" wrapText="1"/>
    </xf>
    <xf numFmtId="0" fontId="90" fillId="4" borderId="25" xfId="38" applyFont="1" applyFill="1" applyBorder="1" applyAlignment="1">
      <alignment horizontal="center" vertical="center" wrapText="1"/>
    </xf>
    <xf numFmtId="0" fontId="90" fillId="4" borderId="14" xfId="38" applyFont="1" applyFill="1" applyBorder="1" applyAlignment="1">
      <alignment horizontal="center" vertical="center" wrapText="1"/>
    </xf>
    <xf numFmtId="0" fontId="90" fillId="4" borderId="45" xfId="38" applyFont="1" applyFill="1" applyBorder="1" applyAlignment="1">
      <alignment horizontal="center" vertical="center" wrapText="1"/>
    </xf>
    <xf numFmtId="0" fontId="90" fillId="4" borderId="15" xfId="38" applyFont="1" applyFill="1" applyBorder="1" applyAlignment="1">
      <alignment horizontal="center" vertical="center" wrapText="1"/>
    </xf>
    <xf numFmtId="0" fontId="90" fillId="4" borderId="114" xfId="38" applyFont="1" applyFill="1" applyBorder="1" applyAlignment="1">
      <alignment horizontal="center" vertical="center" wrapText="1"/>
    </xf>
    <xf numFmtId="0" fontId="90" fillId="4" borderId="49" xfId="38" applyFont="1" applyFill="1" applyBorder="1" applyAlignment="1">
      <alignment horizontal="center" vertical="center" wrapText="1"/>
    </xf>
    <xf numFmtId="165" fontId="90" fillId="3" borderId="35" xfId="40" applyFont="1" applyFill="1" applyBorder="1"/>
    <xf numFmtId="165" fontId="90" fillId="3" borderId="0" xfId="40" applyFont="1" applyFill="1" applyBorder="1"/>
    <xf numFmtId="0" fontId="101" fillId="0" borderId="134" xfId="38" applyFont="1" applyBorder="1" applyAlignment="1">
      <alignment horizontal="center" vertical="center"/>
    </xf>
    <xf numFmtId="0" fontId="101" fillId="0" borderId="135" xfId="38" applyFont="1" applyBorder="1" applyAlignment="1">
      <alignment horizontal="center" vertical="center"/>
    </xf>
    <xf numFmtId="0" fontId="101" fillId="3" borderId="120" xfId="38" applyFont="1" applyFill="1" applyBorder="1" applyAlignment="1">
      <alignment horizontal="center" vertical="center" wrapText="1"/>
    </xf>
    <xf numFmtId="0" fontId="101" fillId="3" borderId="122" xfId="38" applyFont="1" applyFill="1" applyBorder="1" applyAlignment="1">
      <alignment horizontal="center" vertical="center" wrapText="1"/>
    </xf>
    <xf numFmtId="0" fontId="101" fillId="3" borderId="135" xfId="38" applyFont="1" applyFill="1" applyBorder="1" applyAlignment="1">
      <alignment horizontal="center" vertical="center" wrapText="1"/>
    </xf>
    <xf numFmtId="0" fontId="97" fillId="0" borderId="134" xfId="38" applyFont="1" applyBorder="1" applyAlignment="1">
      <alignment horizontal="center" vertical="center"/>
    </xf>
    <xf numFmtId="0" fontId="97" fillId="0" borderId="135" xfId="38" applyFont="1" applyBorder="1" applyAlignment="1">
      <alignment horizontal="center" vertical="center"/>
    </xf>
    <xf numFmtId="0" fontId="97" fillId="0" borderId="120" xfId="38" applyFont="1" applyBorder="1" applyAlignment="1">
      <alignment horizontal="center" vertical="center" wrapText="1"/>
    </xf>
    <xf numFmtId="0" fontId="97" fillId="0" borderId="122" xfId="38" applyFont="1" applyBorder="1" applyAlignment="1">
      <alignment horizontal="center" vertical="center" wrapText="1"/>
    </xf>
    <xf numFmtId="0" fontId="97" fillId="0" borderId="135" xfId="38" applyFont="1" applyBorder="1" applyAlignment="1">
      <alignment horizontal="center" vertical="center" wrapText="1"/>
    </xf>
    <xf numFmtId="165" fontId="90" fillId="4" borderId="157" xfId="26" applyFont="1" applyFill="1" applyBorder="1" applyAlignment="1">
      <alignment horizontal="center" vertical="center"/>
    </xf>
    <xf numFmtId="165" fontId="90" fillId="4" borderId="161" xfId="26" applyFont="1" applyFill="1" applyBorder="1" applyAlignment="1">
      <alignment horizontal="center" vertical="center"/>
    </xf>
    <xf numFmtId="0" fontId="90" fillId="4" borderId="87" xfId="38" applyFont="1" applyFill="1" applyBorder="1" applyAlignment="1">
      <alignment horizontal="center" vertical="center"/>
    </xf>
    <xf numFmtId="0" fontId="90" fillId="4" borderId="116" xfId="38" applyFont="1" applyFill="1" applyBorder="1" applyAlignment="1">
      <alignment horizontal="center" vertical="center"/>
    </xf>
    <xf numFmtId="0" fontId="90" fillId="4" borderId="89" xfId="38" applyFont="1" applyFill="1" applyBorder="1" applyAlignment="1">
      <alignment horizontal="center" vertical="center"/>
    </xf>
    <xf numFmtId="0" fontId="90" fillId="4" borderId="113" xfId="38" applyFont="1" applyFill="1" applyBorder="1" applyAlignment="1">
      <alignment horizontal="center" vertical="center"/>
    </xf>
    <xf numFmtId="0" fontId="97" fillId="0" borderId="164" xfId="38" applyFont="1" applyBorder="1" applyAlignment="1">
      <alignment horizontal="center" vertical="center"/>
    </xf>
    <xf numFmtId="0" fontId="97" fillId="0" borderId="165" xfId="38" applyFont="1" applyBorder="1" applyAlignment="1">
      <alignment horizontal="center" vertical="center"/>
    </xf>
    <xf numFmtId="0" fontId="97" fillId="3" borderId="166" xfId="38" applyFont="1" applyFill="1" applyBorder="1" applyAlignment="1">
      <alignment horizontal="center" vertical="center" wrapText="1"/>
    </xf>
    <xf numFmtId="0" fontId="97" fillId="3" borderId="167" xfId="38" applyFont="1" applyFill="1" applyBorder="1" applyAlignment="1">
      <alignment horizontal="center" vertical="center" wrapText="1"/>
    </xf>
    <xf numFmtId="0" fontId="97" fillId="3" borderId="165" xfId="38" applyFont="1" applyFill="1" applyBorder="1" applyAlignment="1">
      <alignment horizontal="center" vertical="center" wrapText="1"/>
    </xf>
    <xf numFmtId="0" fontId="90" fillId="3" borderId="22" xfId="38" applyFont="1" applyFill="1" applyBorder="1" applyAlignment="1">
      <alignment horizontal="center" vertical="center"/>
    </xf>
    <xf numFmtId="0" fontId="90" fillId="3" borderId="43" xfId="38" applyFont="1" applyFill="1" applyBorder="1" applyAlignment="1">
      <alignment horizontal="center" vertical="center"/>
    </xf>
    <xf numFmtId="0" fontId="90" fillId="3" borderId="44" xfId="38" applyFont="1" applyFill="1" applyBorder="1" applyAlignment="1">
      <alignment horizontal="center" vertical="center"/>
    </xf>
    <xf numFmtId="0" fontId="90" fillId="3" borderId="41" xfId="38" applyFont="1" applyFill="1" applyBorder="1" applyAlignment="1">
      <alignment horizontal="center" vertical="center"/>
    </xf>
    <xf numFmtId="0" fontId="90" fillId="3" borderId="42" xfId="38" applyFont="1" applyFill="1" applyBorder="1" applyAlignment="1">
      <alignment horizontal="center" vertical="center"/>
    </xf>
    <xf numFmtId="0" fontId="90" fillId="3" borderId="63" xfId="38" applyFont="1" applyFill="1" applyBorder="1" applyAlignment="1">
      <alignment horizontal="center" vertical="center"/>
    </xf>
    <xf numFmtId="0" fontId="90" fillId="4" borderId="44" xfId="38" applyFont="1" applyFill="1" applyBorder="1" applyAlignment="1">
      <alignment horizontal="center" vertical="center"/>
    </xf>
    <xf numFmtId="0" fontId="90" fillId="4" borderId="63" xfId="38" applyFont="1" applyFill="1" applyBorder="1" applyAlignment="1">
      <alignment horizontal="center" vertical="center"/>
    </xf>
    <xf numFmtId="0" fontId="102" fillId="0" borderId="134" xfId="38" applyFont="1" applyBorder="1" applyAlignment="1">
      <alignment horizontal="center" vertical="center"/>
    </xf>
    <xf numFmtId="0" fontId="102" fillId="0" borderId="135" xfId="38" applyFont="1" applyBorder="1" applyAlignment="1">
      <alignment horizontal="center" vertical="center"/>
    </xf>
    <xf numFmtId="0" fontId="102" fillId="0" borderId="120" xfId="38" applyFont="1" applyBorder="1" applyAlignment="1">
      <alignment horizontal="center" vertical="center" wrapText="1"/>
    </xf>
    <xf numFmtId="0" fontId="102" fillId="0" borderId="122" xfId="38" applyFont="1" applyBorder="1" applyAlignment="1">
      <alignment horizontal="center" vertical="center" wrapText="1"/>
    </xf>
    <xf numFmtId="0" fontId="102" fillId="0" borderId="135" xfId="38" applyFont="1" applyBorder="1" applyAlignment="1">
      <alignment horizontal="center" vertical="center" wrapText="1"/>
    </xf>
    <xf numFmtId="0" fontId="101" fillId="0" borderId="120" xfId="38" applyFont="1" applyBorder="1" applyAlignment="1">
      <alignment horizontal="center" vertical="center" wrapText="1"/>
    </xf>
    <xf numFmtId="0" fontId="101" fillId="0" borderId="122" xfId="38" applyFont="1" applyBorder="1" applyAlignment="1">
      <alignment horizontal="center" vertical="center" wrapText="1"/>
    </xf>
    <xf numFmtId="0" fontId="101" fillId="0" borderId="135" xfId="38" applyFont="1" applyBorder="1" applyAlignment="1">
      <alignment horizontal="center" vertical="center" wrapText="1"/>
    </xf>
    <xf numFmtId="0" fontId="103" fillId="0" borderId="134" xfId="38" applyFont="1" applyBorder="1" applyAlignment="1">
      <alignment horizontal="center" vertical="center"/>
    </xf>
    <xf numFmtId="0" fontId="103" fillId="0" borderId="135" xfId="38" applyFont="1" applyBorder="1" applyAlignment="1">
      <alignment horizontal="center" vertical="center"/>
    </xf>
    <xf numFmtId="0" fontId="103" fillId="0" borderId="120" xfId="38" applyFont="1" applyBorder="1" applyAlignment="1">
      <alignment horizontal="center" vertical="center" wrapText="1"/>
    </xf>
    <xf numFmtId="0" fontId="103" fillId="0" borderId="122" xfId="38" applyFont="1" applyBorder="1" applyAlignment="1">
      <alignment horizontal="center" vertical="center" wrapText="1"/>
    </xf>
    <xf numFmtId="0" fontId="103" fillId="0" borderId="135" xfId="38" applyFont="1" applyBorder="1" applyAlignment="1">
      <alignment horizontal="center" vertical="center" wrapText="1"/>
    </xf>
    <xf numFmtId="0" fontId="90" fillId="5" borderId="22" xfId="38" applyFont="1" applyFill="1" applyBorder="1" applyAlignment="1">
      <alignment horizontal="center" vertical="center"/>
    </xf>
    <xf numFmtId="0" fontId="90" fillId="5" borderId="43" xfId="38" applyFont="1" applyFill="1" applyBorder="1" applyAlignment="1">
      <alignment horizontal="center" vertical="center"/>
    </xf>
    <xf numFmtId="0" fontId="90" fillId="5" borderId="44" xfId="38" applyFont="1" applyFill="1" applyBorder="1" applyAlignment="1">
      <alignment horizontal="center" vertical="center"/>
    </xf>
    <xf numFmtId="0" fontId="90" fillId="5" borderId="41" xfId="38" applyFont="1" applyFill="1" applyBorder="1" applyAlignment="1">
      <alignment horizontal="center" vertical="center"/>
    </xf>
    <xf numFmtId="0" fontId="90" fillId="5" borderId="42" xfId="38" applyFont="1" applyFill="1" applyBorder="1" applyAlignment="1">
      <alignment horizontal="center" vertical="center"/>
    </xf>
    <xf numFmtId="0" fontId="90" fillId="5" borderId="63" xfId="38" applyFont="1" applyFill="1" applyBorder="1" applyAlignment="1">
      <alignment horizontal="center" vertical="center"/>
    </xf>
    <xf numFmtId="0" fontId="90" fillId="5" borderId="157" xfId="38" applyFont="1" applyFill="1" applyBorder="1" applyAlignment="1">
      <alignment horizontal="center" vertical="center"/>
    </xf>
    <xf numFmtId="0" fontId="90" fillId="5" borderId="161" xfId="38" applyFont="1" applyFill="1" applyBorder="1" applyAlignment="1">
      <alignment horizontal="center" vertical="center"/>
    </xf>
    <xf numFmtId="0" fontId="85" fillId="0" borderId="0" xfId="38" applyFont="1" applyAlignment="1">
      <alignment horizontal="center" vertical="center"/>
    </xf>
    <xf numFmtId="0" fontId="85" fillId="0" borderId="0" xfId="38" applyFont="1" applyAlignment="1">
      <alignment horizontal="center" vertical="center" wrapText="1"/>
    </xf>
    <xf numFmtId="0" fontId="86" fillId="0" borderId="0" xfId="38" applyFont="1" applyAlignment="1">
      <alignment horizontal="center" vertical="center"/>
    </xf>
    <xf numFmtId="0" fontId="106" fillId="0" borderId="0" xfId="38" applyFont="1" applyAlignment="1">
      <alignment horizontal="center" vertical="center"/>
    </xf>
    <xf numFmtId="0" fontId="107" fillId="0" borderId="0" xfId="38" applyFont="1" applyAlignment="1">
      <alignment horizontal="center" vertical="center"/>
    </xf>
    <xf numFmtId="0" fontId="90" fillId="2" borderId="173" xfId="38" applyFont="1" applyFill="1" applyBorder="1" applyAlignment="1">
      <alignment horizontal="center" vertical="center"/>
    </xf>
    <xf numFmtId="0" fontId="46" fillId="13" borderId="194" xfId="51" applyFont="1" applyFill="1" applyBorder="1" applyAlignment="1">
      <alignment horizontal="center" vertical="center" wrapText="1"/>
    </xf>
    <xf numFmtId="0" fontId="46" fillId="13" borderId="195" xfId="51" applyFont="1" applyFill="1" applyBorder="1" applyAlignment="1">
      <alignment horizontal="center" vertical="center" wrapText="1"/>
    </xf>
    <xf numFmtId="0" fontId="46" fillId="13" borderId="196" xfId="51" applyFont="1" applyFill="1" applyBorder="1" applyAlignment="1">
      <alignment horizontal="center" vertical="center" wrapText="1"/>
    </xf>
    <xf numFmtId="0" fontId="117" fillId="0" borderId="203" xfId="51" applyFont="1" applyBorder="1" applyAlignment="1">
      <alignment horizontal="center" vertical="center" wrapText="1"/>
    </xf>
    <xf numFmtId="0" fontId="117" fillId="0" borderId="204" xfId="51" applyFont="1" applyBorder="1" applyAlignment="1">
      <alignment horizontal="center" vertical="center" wrapText="1"/>
    </xf>
    <xf numFmtId="0" fontId="117" fillId="0" borderId="205" xfId="51" applyFont="1" applyBorder="1" applyAlignment="1">
      <alignment horizontal="center" vertical="center" wrapText="1"/>
    </xf>
    <xf numFmtId="0" fontId="46" fillId="8" borderId="209" xfId="51" applyFont="1" applyFill="1" applyBorder="1" applyAlignment="1">
      <alignment horizontal="left" vertical="center" wrapText="1"/>
    </xf>
    <xf numFmtId="0" fontId="46" fillId="8" borderId="210" xfId="51" applyFont="1" applyFill="1" applyBorder="1" applyAlignment="1">
      <alignment horizontal="left" vertical="center" wrapText="1"/>
    </xf>
    <xf numFmtId="0" fontId="46" fillId="8" borderId="211" xfId="51" applyFont="1" applyFill="1" applyBorder="1" applyAlignment="1">
      <alignment horizontal="left" vertical="center" wrapText="1"/>
    </xf>
    <xf numFmtId="0" fontId="46" fillId="8" borderId="203" xfId="51" applyFont="1" applyFill="1" applyBorder="1" applyAlignment="1">
      <alignment horizontal="left" vertical="center" wrapText="1"/>
    </xf>
    <xf numFmtId="0" fontId="46" fillId="8" borderId="204" xfId="51" applyFont="1" applyFill="1" applyBorder="1" applyAlignment="1">
      <alignment horizontal="left" vertical="center" wrapText="1"/>
    </xf>
    <xf numFmtId="0" fontId="46" fillId="0" borderId="200" xfId="51" applyFont="1" applyBorder="1" applyAlignment="1">
      <alignment horizontal="right" vertical="center" wrapText="1"/>
    </xf>
    <xf numFmtId="0" fontId="46" fillId="0" borderId="126" xfId="51" applyFont="1" applyBorder="1" applyAlignment="1">
      <alignment horizontal="right" vertical="center" wrapText="1"/>
    </xf>
    <xf numFmtId="0" fontId="46" fillId="0" borderId="175" xfId="51" applyFont="1" applyBorder="1" applyAlignment="1">
      <alignment horizontal="right" vertical="center" wrapText="1"/>
    </xf>
    <xf numFmtId="0" fontId="117" fillId="0" borderId="206" xfId="51" applyFont="1" applyBorder="1" applyAlignment="1">
      <alignment horizontal="center" vertical="center" wrapText="1"/>
    </xf>
    <xf numFmtId="0" fontId="117" fillId="0" borderId="207" xfId="51" applyFont="1" applyBorder="1" applyAlignment="1">
      <alignment horizontal="center" vertical="center" wrapText="1"/>
    </xf>
    <xf numFmtId="0" fontId="117" fillId="0" borderId="208" xfId="51" applyFont="1" applyBorder="1" applyAlignment="1">
      <alignment horizontal="center" vertical="center" wrapText="1"/>
    </xf>
    <xf numFmtId="0" fontId="46" fillId="8" borderId="190" xfId="51" applyFont="1" applyFill="1" applyBorder="1" applyAlignment="1">
      <alignment horizontal="center" vertical="center" wrapText="1"/>
    </xf>
    <xf numFmtId="0" fontId="46" fillId="8" borderId="193" xfId="51" applyFont="1" applyFill="1" applyBorder="1" applyAlignment="1">
      <alignment horizontal="center" vertical="center" wrapText="1"/>
    </xf>
    <xf numFmtId="49" fontId="72" fillId="0" borderId="0" xfId="46" applyNumberFormat="1" applyFont="1" applyFill="1" applyBorder="1" applyAlignment="1" applyProtection="1">
      <alignment horizontal="center" vertical="top"/>
    </xf>
    <xf numFmtId="175" fontId="72" fillId="0" borderId="0" xfId="46" applyFont="1" applyFill="1" applyBorder="1" applyAlignment="1" applyProtection="1">
      <alignment horizontal="center" vertical="top" wrapText="1"/>
    </xf>
    <xf numFmtId="0" fontId="79" fillId="17" borderId="86" xfId="51" applyFont="1" applyFill="1" applyBorder="1" applyAlignment="1">
      <alignment horizontal="center" vertical="center"/>
    </xf>
    <xf numFmtId="0" fontId="79" fillId="17" borderId="20" xfId="51" applyFont="1" applyFill="1" applyBorder="1" applyAlignment="1">
      <alignment horizontal="center" vertical="center"/>
    </xf>
    <xf numFmtId="0" fontId="79" fillId="17" borderId="94" xfId="51" applyFont="1" applyFill="1" applyBorder="1" applyAlignment="1">
      <alignment horizontal="center" vertical="center"/>
    </xf>
    <xf numFmtId="0" fontId="116" fillId="8" borderId="184" xfId="51" applyFont="1" applyFill="1" applyBorder="1" applyAlignment="1">
      <alignment vertical="center" wrapText="1"/>
    </xf>
    <xf numFmtId="0" fontId="116" fillId="8" borderId="64" xfId="51" applyFont="1" applyFill="1" applyBorder="1" applyAlignment="1">
      <alignment vertical="center" wrapText="1"/>
    </xf>
    <xf numFmtId="0" fontId="46" fillId="8" borderId="183" xfId="51" applyFont="1" applyFill="1" applyBorder="1" applyAlignment="1">
      <alignment horizontal="right" vertical="center" wrapText="1"/>
    </xf>
    <xf numFmtId="0" fontId="46" fillId="8" borderId="49" xfId="51" applyFont="1" applyFill="1" applyBorder="1" applyAlignment="1">
      <alignment horizontal="right" vertical="center" wrapText="1"/>
    </xf>
    <xf numFmtId="10" fontId="46" fillId="8" borderId="184" xfId="49" applyNumberFormat="1" applyFont="1" applyFill="1" applyBorder="1" applyAlignment="1">
      <alignment horizontal="center" vertical="center" wrapText="1"/>
    </xf>
    <xf numFmtId="10" fontId="46" fillId="8" borderId="64" xfId="49" applyNumberFormat="1" applyFont="1" applyFill="1" applyBorder="1" applyAlignment="1">
      <alignment horizontal="center" vertical="center" wrapText="1"/>
    </xf>
    <xf numFmtId="0" fontId="46" fillId="8" borderId="189" xfId="51" applyFont="1" applyFill="1" applyBorder="1" applyAlignment="1">
      <alignment horizontal="center" vertical="center" wrapText="1"/>
    </xf>
    <xf numFmtId="0" fontId="46" fillId="8" borderId="191" xfId="51" applyFont="1" applyFill="1" applyBorder="1" applyAlignment="1">
      <alignment horizontal="center" vertical="center" wrapText="1"/>
    </xf>
    <xf numFmtId="0" fontId="46" fillId="8" borderId="45" xfId="51" applyFont="1" applyFill="1" applyBorder="1" applyAlignment="1">
      <alignment horizontal="center" vertical="center" wrapText="1"/>
    </xf>
    <xf numFmtId="0" fontId="46" fillId="8" borderId="192" xfId="51" applyFont="1" applyFill="1" applyBorder="1" applyAlignment="1">
      <alignment horizontal="center" vertical="center" wrapText="1"/>
    </xf>
    <xf numFmtId="0" fontId="46" fillId="8" borderId="59" xfId="51" applyFont="1" applyFill="1" applyBorder="1" applyAlignment="1">
      <alignment horizontal="center" vertical="center" wrapText="1"/>
    </xf>
    <xf numFmtId="0" fontId="46" fillId="8" borderId="190" xfId="48" applyFont="1" applyFill="1" applyBorder="1" applyAlignment="1">
      <alignment horizontal="center" vertical="center" wrapText="1"/>
    </xf>
    <xf numFmtId="0" fontId="46" fillId="8" borderId="193" xfId="48" applyFont="1" applyFill="1" applyBorder="1" applyAlignment="1">
      <alignment horizontal="center" vertical="center" wrapText="1"/>
    </xf>
    <xf numFmtId="49" fontId="67" fillId="0" borderId="0" xfId="46" applyNumberFormat="1" applyFont="1" applyFill="1" applyBorder="1" applyAlignment="1" applyProtection="1">
      <alignment horizontal="center" vertical="top"/>
    </xf>
    <xf numFmtId="175" fontId="67" fillId="0" borderId="0" xfId="46" applyFont="1" applyFill="1" applyBorder="1" applyAlignment="1" applyProtection="1">
      <alignment horizontal="center" vertical="top" wrapText="1"/>
    </xf>
    <xf numFmtId="0" fontId="72" fillId="17" borderId="86" xfId="48" applyFont="1" applyFill="1" applyBorder="1" applyAlignment="1">
      <alignment horizontal="center" vertical="center"/>
    </xf>
    <xf numFmtId="0" fontId="72" fillId="17" borderId="20" xfId="48" applyFont="1" applyFill="1" applyBorder="1" applyAlignment="1">
      <alignment horizontal="center" vertical="center"/>
    </xf>
    <xf numFmtId="0" fontId="72" fillId="17" borderId="94" xfId="48" applyFont="1" applyFill="1" applyBorder="1" applyAlignment="1">
      <alignment horizontal="center" vertical="center"/>
    </xf>
    <xf numFmtId="0" fontId="116" fillId="8" borderId="182" xfId="48" applyFont="1" applyFill="1" applyBorder="1" applyAlignment="1">
      <alignment vertical="center" wrapText="1"/>
    </xf>
    <xf numFmtId="0" fontId="116" fillId="8" borderId="15" xfId="48" applyFont="1" applyFill="1" applyBorder="1" applyAlignment="1">
      <alignment vertical="center" wrapText="1"/>
    </xf>
    <xf numFmtId="0" fontId="46" fillId="8" borderId="183" xfId="48" applyFont="1" applyFill="1" applyBorder="1" applyAlignment="1">
      <alignment horizontal="right" vertical="center" wrapText="1"/>
    </xf>
    <xf numFmtId="0" fontId="46" fillId="8" borderId="49" xfId="48" applyFont="1" applyFill="1" applyBorder="1" applyAlignment="1">
      <alignment horizontal="right" vertical="center" wrapText="1"/>
    </xf>
    <xf numFmtId="0" fontId="46" fillId="8" borderId="189" xfId="48" applyFont="1" applyFill="1" applyBorder="1" applyAlignment="1">
      <alignment horizontal="center" vertical="center" wrapText="1"/>
    </xf>
    <xf numFmtId="0" fontId="46" fillId="8" borderId="191" xfId="48" applyFont="1" applyFill="1" applyBorder="1" applyAlignment="1">
      <alignment horizontal="center" vertical="center" wrapText="1"/>
    </xf>
    <xf numFmtId="0" fontId="46" fillId="8" borderId="45" xfId="48" applyFont="1" applyFill="1" applyBorder="1" applyAlignment="1">
      <alignment horizontal="center" vertical="center" wrapText="1"/>
    </xf>
    <xf numFmtId="0" fontId="46" fillId="8" borderId="192" xfId="48" applyFont="1" applyFill="1" applyBorder="1" applyAlignment="1">
      <alignment horizontal="center" vertical="center" wrapText="1"/>
    </xf>
    <xf numFmtId="0" fontId="46" fillId="8" borderId="59" xfId="48" applyFont="1" applyFill="1" applyBorder="1" applyAlignment="1">
      <alignment horizontal="center" vertical="center" wrapText="1"/>
    </xf>
    <xf numFmtId="0" fontId="46" fillId="13" borderId="194" xfId="48" applyFont="1" applyFill="1" applyBorder="1" applyAlignment="1">
      <alignment horizontal="center" vertical="center" wrapText="1"/>
    </xf>
    <xf numFmtId="0" fontId="46" fillId="13" borderId="195" xfId="48" applyFont="1" applyFill="1" applyBorder="1" applyAlignment="1">
      <alignment horizontal="center" vertical="center" wrapText="1"/>
    </xf>
    <xf numFmtId="0" fontId="46" fillId="13" borderId="196" xfId="48" applyFont="1" applyFill="1" applyBorder="1" applyAlignment="1">
      <alignment horizontal="center" vertical="center" wrapText="1"/>
    </xf>
    <xf numFmtId="0" fontId="117" fillId="0" borderId="203" xfId="48" applyFont="1" applyBorder="1" applyAlignment="1">
      <alignment horizontal="center" vertical="center" wrapText="1"/>
    </xf>
    <xf numFmtId="0" fontId="117" fillId="0" borderId="204" xfId="48" applyFont="1" applyBorder="1" applyAlignment="1">
      <alignment horizontal="center" vertical="center" wrapText="1"/>
    </xf>
    <xf numFmtId="0" fontId="117" fillId="0" borderId="205" xfId="48" applyFont="1" applyBorder="1" applyAlignment="1">
      <alignment horizontal="center" vertical="center" wrapText="1"/>
    </xf>
    <xf numFmtId="0" fontId="46" fillId="8" borderId="209" xfId="48" applyFont="1" applyFill="1" applyBorder="1" applyAlignment="1">
      <alignment horizontal="left" vertical="center" wrapText="1"/>
    </xf>
    <xf numFmtId="0" fontId="46" fillId="8" borderId="210" xfId="48" applyFont="1" applyFill="1" applyBorder="1" applyAlignment="1">
      <alignment horizontal="left" vertical="center" wrapText="1"/>
    </xf>
    <xf numFmtId="0" fontId="46" fillId="8" borderId="211" xfId="48" applyFont="1" applyFill="1" applyBorder="1" applyAlignment="1">
      <alignment horizontal="left" vertical="center" wrapText="1"/>
    </xf>
    <xf numFmtId="0" fontId="46" fillId="8" borderId="203" xfId="48" applyFont="1" applyFill="1" applyBorder="1" applyAlignment="1">
      <alignment horizontal="left" vertical="center" wrapText="1"/>
    </xf>
    <xf numFmtId="0" fontId="46" fillId="8" borderId="204" xfId="48" applyFont="1" applyFill="1" applyBorder="1" applyAlignment="1">
      <alignment horizontal="left" vertical="center" wrapText="1"/>
    </xf>
    <xf numFmtId="0" fontId="46" fillId="0" borderId="200" xfId="48" applyFont="1" applyBorder="1" applyAlignment="1">
      <alignment horizontal="right" vertical="center" wrapText="1"/>
    </xf>
    <xf numFmtId="0" fontId="46" fillId="0" borderId="126" xfId="48" applyFont="1" applyBorder="1" applyAlignment="1">
      <alignment horizontal="right" vertical="center" wrapText="1"/>
    </xf>
    <xf numFmtId="0" fontId="46" fillId="0" borderId="175" xfId="48" applyFont="1" applyBorder="1" applyAlignment="1">
      <alignment horizontal="right" vertical="center" wrapText="1"/>
    </xf>
    <xf numFmtId="0" fontId="117" fillId="0" borderId="206" xfId="48" applyFont="1" applyBorder="1" applyAlignment="1">
      <alignment horizontal="center" vertical="center" wrapText="1"/>
    </xf>
    <xf numFmtId="0" fontId="117" fillId="0" borderId="207" xfId="48" applyFont="1" applyBorder="1" applyAlignment="1">
      <alignment horizontal="center" vertical="center" wrapText="1"/>
    </xf>
    <xf numFmtId="0" fontId="117" fillId="0" borderId="208" xfId="48" applyFont="1" applyBorder="1" applyAlignment="1">
      <alignment horizontal="center" vertical="center" wrapText="1"/>
    </xf>
    <xf numFmtId="49" fontId="72" fillId="0" borderId="35" xfId="46" applyNumberFormat="1" applyFont="1" applyFill="1" applyBorder="1" applyAlignment="1" applyProtection="1">
      <alignment horizontal="center" vertical="top"/>
    </xf>
    <xf numFmtId="49" fontId="72" fillId="0" borderId="29" xfId="46" applyNumberFormat="1" applyFont="1" applyFill="1" applyBorder="1" applyAlignment="1" applyProtection="1">
      <alignment horizontal="center" vertical="top"/>
    </xf>
    <xf numFmtId="175" fontId="72" fillId="0" borderId="35" xfId="46" applyFont="1" applyFill="1" applyBorder="1" applyAlignment="1" applyProtection="1">
      <alignment horizontal="center" vertical="top"/>
    </xf>
    <xf numFmtId="175" fontId="72" fillId="0" borderId="0" xfId="46" applyFont="1" applyFill="1" applyBorder="1" applyAlignment="1" applyProtection="1">
      <alignment horizontal="center" vertical="top"/>
    </xf>
    <xf numFmtId="175" fontId="72" fillId="0" borderId="29" xfId="46" applyFont="1" applyFill="1" applyBorder="1" applyAlignment="1" applyProtection="1">
      <alignment horizontal="center" vertical="top"/>
    </xf>
    <xf numFmtId="0" fontId="76" fillId="17" borderId="41" xfId="48" applyFont="1" applyFill="1" applyBorder="1" applyAlignment="1">
      <alignment horizontal="center" vertical="center"/>
    </xf>
    <xf numFmtId="0" fontId="76" fillId="17" borderId="42" xfId="48" applyFont="1" applyFill="1" applyBorder="1" applyAlignment="1">
      <alignment horizontal="center" vertical="center"/>
    </xf>
    <xf numFmtId="0" fontId="76" fillId="17" borderId="63" xfId="48" applyFont="1" applyFill="1" applyBorder="1" applyAlignment="1">
      <alignment horizontal="center" vertical="center"/>
    </xf>
    <xf numFmtId="0" fontId="116" fillId="8" borderId="184" xfId="48" applyFont="1" applyFill="1" applyBorder="1" applyAlignment="1">
      <alignment vertical="center" wrapText="1"/>
    </xf>
    <xf numFmtId="0" fontId="116" fillId="8" borderId="64" xfId="48" applyFont="1" applyFill="1" applyBorder="1" applyAlignment="1">
      <alignment vertical="center" wrapText="1"/>
    </xf>
    <xf numFmtId="0" fontId="67" fillId="8" borderId="190" xfId="48" applyFont="1" applyFill="1" applyBorder="1" applyAlignment="1">
      <alignment horizontal="center" vertical="center" wrapText="1"/>
    </xf>
    <xf numFmtId="0" fontId="67" fillId="8" borderId="193" xfId="48" applyFont="1" applyFill="1" applyBorder="1" applyAlignment="1">
      <alignment horizontal="center" vertical="center" wrapText="1"/>
    </xf>
    <xf numFmtId="175" fontId="72" fillId="0" borderId="29" xfId="46" applyFont="1" applyFill="1" applyBorder="1" applyAlignment="1" applyProtection="1">
      <alignment horizontal="center" vertical="top" wrapText="1"/>
    </xf>
    <xf numFmtId="0" fontId="72" fillId="8" borderId="183" xfId="48" applyFont="1" applyFill="1" applyBorder="1" applyAlignment="1">
      <alignment horizontal="center" vertical="center" wrapText="1"/>
    </xf>
    <xf numFmtId="0" fontId="72" fillId="8" borderId="216" xfId="48" applyFont="1" applyFill="1" applyBorder="1" applyAlignment="1">
      <alignment horizontal="center" vertical="center" wrapText="1"/>
    </xf>
    <xf numFmtId="0" fontId="72" fillId="8" borderId="184" xfId="48" applyFont="1" applyFill="1" applyBorder="1" applyAlignment="1">
      <alignment horizontal="center" vertical="center" wrapText="1"/>
    </xf>
    <xf numFmtId="0" fontId="72" fillId="8" borderId="49" xfId="48" applyFont="1" applyFill="1" applyBorder="1" applyAlignment="1">
      <alignment horizontal="center" vertical="center" wrapText="1"/>
    </xf>
    <xf numFmtId="0" fontId="72" fillId="8" borderId="71" xfId="48" applyFont="1" applyFill="1" applyBorder="1" applyAlignment="1">
      <alignment horizontal="center" vertical="center" wrapText="1"/>
    </xf>
    <xf numFmtId="0" fontId="72" fillId="8" borderId="64" xfId="48" applyFont="1" applyFill="1" applyBorder="1" applyAlignment="1">
      <alignment horizontal="center" vertical="center" wrapText="1"/>
    </xf>
    <xf numFmtId="0" fontId="67" fillId="8" borderId="183" xfId="48" applyFont="1" applyFill="1" applyBorder="1" applyAlignment="1">
      <alignment horizontal="right" vertical="center" wrapText="1"/>
    </xf>
    <xf numFmtId="0" fontId="67" fillId="8" borderId="49" xfId="48" applyFont="1" applyFill="1" applyBorder="1" applyAlignment="1">
      <alignment horizontal="right" vertical="center" wrapText="1"/>
    </xf>
    <xf numFmtId="0" fontId="67" fillId="8" borderId="189" xfId="48" applyFont="1" applyFill="1" applyBorder="1" applyAlignment="1">
      <alignment horizontal="center" vertical="center" wrapText="1"/>
    </xf>
    <xf numFmtId="0" fontId="67" fillId="8" borderId="191" xfId="48" applyFont="1" applyFill="1" applyBorder="1" applyAlignment="1">
      <alignment horizontal="center" vertical="center" wrapText="1"/>
    </xf>
    <xf numFmtId="0" fontId="67" fillId="8" borderId="114" xfId="48" applyFont="1" applyFill="1" applyBorder="1" applyAlignment="1">
      <alignment horizontal="center" vertical="center" wrapText="1"/>
    </xf>
    <xf numFmtId="0" fontId="67" fillId="8" borderId="103" xfId="48" applyFont="1" applyFill="1" applyBorder="1" applyAlignment="1">
      <alignment horizontal="center" vertical="center" wrapText="1"/>
    </xf>
    <xf numFmtId="0" fontId="67" fillId="8" borderId="104" xfId="48" applyFont="1" applyFill="1" applyBorder="1" applyAlignment="1">
      <alignment horizontal="center" vertical="center" wrapText="1"/>
    </xf>
    <xf numFmtId="0" fontId="67" fillId="8" borderId="217" xfId="48" applyFont="1" applyFill="1" applyBorder="1" applyAlignment="1">
      <alignment horizontal="center" vertical="center" wrapText="1"/>
    </xf>
    <xf numFmtId="0" fontId="67" fillId="8" borderId="218" xfId="48" applyFont="1" applyFill="1" applyBorder="1" applyAlignment="1">
      <alignment horizontal="center" vertical="center" wrapText="1"/>
    </xf>
    <xf numFmtId="0" fontId="67" fillId="8" borderId="219" xfId="48" applyFont="1" applyFill="1" applyBorder="1" applyAlignment="1">
      <alignment horizontal="center" vertical="center" wrapText="1"/>
    </xf>
    <xf numFmtId="0" fontId="67" fillId="8" borderId="45" xfId="48" applyFont="1" applyFill="1" applyBorder="1" applyAlignment="1">
      <alignment horizontal="center" vertical="center" wrapText="1"/>
    </xf>
    <xf numFmtId="0" fontId="67" fillId="8" borderId="59" xfId="48" applyFont="1" applyFill="1" applyBorder="1" applyAlignment="1">
      <alignment horizontal="center" vertical="center" wrapText="1"/>
    </xf>
    <xf numFmtId="0" fontId="119" fillId="0" borderId="203" xfId="48" applyFont="1" applyBorder="1" applyAlignment="1">
      <alignment horizontal="center" vertical="center" wrapText="1"/>
    </xf>
    <xf numFmtId="0" fontId="119" fillId="0" borderId="204" xfId="48" applyFont="1" applyBorder="1" applyAlignment="1">
      <alignment horizontal="center" vertical="center" wrapText="1"/>
    </xf>
    <xf numFmtId="0" fontId="119" fillId="0" borderId="205" xfId="48" applyFont="1" applyBorder="1" applyAlignment="1">
      <alignment horizontal="center" vertical="center" wrapText="1"/>
    </xf>
    <xf numFmtId="0" fontId="67" fillId="13" borderId="194" xfId="48" applyFont="1" applyFill="1" applyBorder="1" applyAlignment="1">
      <alignment horizontal="center" vertical="center" wrapText="1"/>
    </xf>
    <xf numFmtId="0" fontId="67" fillId="13" borderId="195" xfId="48" applyFont="1" applyFill="1" applyBorder="1" applyAlignment="1">
      <alignment horizontal="center" vertical="center" wrapText="1"/>
    </xf>
    <xf numFmtId="0" fontId="67" fillId="13" borderId="196" xfId="48" applyFont="1" applyFill="1" applyBorder="1" applyAlignment="1">
      <alignment horizontal="center" vertical="center" wrapText="1"/>
    </xf>
    <xf numFmtId="0" fontId="2" fillId="0" borderId="220" xfId="48" applyFont="1" applyBorder="1" applyAlignment="1">
      <alignment horizontal="center" vertical="center" wrapText="1"/>
    </xf>
    <xf numFmtId="0" fontId="2" fillId="0" borderId="221" xfId="48" applyFont="1" applyBorder="1" applyAlignment="1">
      <alignment horizontal="center" vertical="center" wrapText="1"/>
    </xf>
    <xf numFmtId="0" fontId="2" fillId="0" borderId="222" xfId="48" applyFont="1" applyBorder="1" applyAlignment="1">
      <alignment horizontal="center" vertical="center" wrapText="1"/>
    </xf>
    <xf numFmtId="0" fontId="2" fillId="0" borderId="146" xfId="48" applyFont="1" applyBorder="1" applyAlignment="1">
      <alignment horizontal="center" vertical="center" wrapText="1"/>
    </xf>
    <xf numFmtId="0" fontId="2" fillId="0" borderId="122" xfId="48" applyFont="1" applyBorder="1" applyAlignment="1">
      <alignment horizontal="center" vertical="center" wrapText="1"/>
    </xf>
    <xf numFmtId="0" fontId="2" fillId="0" borderId="177" xfId="48" applyFont="1" applyBorder="1" applyAlignment="1">
      <alignment horizontal="center" vertical="center" wrapText="1"/>
    </xf>
    <xf numFmtId="0" fontId="67" fillId="0" borderId="200" xfId="48" applyFont="1" applyBorder="1" applyAlignment="1">
      <alignment horizontal="right" vertical="center" wrapText="1"/>
    </xf>
    <xf numFmtId="0" fontId="67" fillId="0" borderId="126" xfId="48" applyFont="1" applyBorder="1" applyAlignment="1">
      <alignment horizontal="right" vertical="center" wrapText="1"/>
    </xf>
    <xf numFmtId="0" fontId="67" fillId="0" borderId="175" xfId="48" applyFont="1" applyBorder="1" applyAlignment="1">
      <alignment horizontal="right" vertical="center" wrapText="1"/>
    </xf>
    <xf numFmtId="0" fontId="67" fillId="8" borderId="209" xfId="48" applyFont="1" applyFill="1" applyBorder="1" applyAlignment="1">
      <alignment horizontal="left" vertical="center" wrapText="1"/>
    </xf>
    <xf numFmtId="0" fontId="67" fillId="8" borderId="210" xfId="48" applyFont="1" applyFill="1" applyBorder="1" applyAlignment="1">
      <alignment horizontal="left" vertical="center" wrapText="1"/>
    </xf>
    <xf numFmtId="0" fontId="67" fillId="8" borderId="211" xfId="48" applyFont="1" applyFill="1" applyBorder="1" applyAlignment="1">
      <alignment horizontal="left" vertical="center" wrapText="1"/>
    </xf>
    <xf numFmtId="0" fontId="67" fillId="8" borderId="203" xfId="48" applyFont="1" applyFill="1" applyBorder="1" applyAlignment="1">
      <alignment horizontal="left" vertical="center" wrapText="1"/>
    </xf>
    <xf numFmtId="0" fontId="67" fillId="8" borderId="204" xfId="48" applyFont="1" applyFill="1" applyBorder="1" applyAlignment="1">
      <alignment horizontal="left" vertical="center" wrapText="1"/>
    </xf>
    <xf numFmtId="0" fontId="119" fillId="0" borderId="228" xfId="48" applyFont="1" applyBorder="1" applyAlignment="1">
      <alignment horizontal="center" vertical="center" wrapText="1"/>
    </xf>
    <xf numFmtId="0" fontId="119" fillId="0" borderId="218" xfId="48" applyFont="1" applyBorder="1" applyAlignment="1">
      <alignment horizontal="center" vertical="center" wrapText="1"/>
    </xf>
    <xf numFmtId="0" fontId="119" fillId="0" borderId="229" xfId="48" applyFont="1" applyBorder="1" applyAlignment="1">
      <alignment horizontal="center" vertical="center" wrapText="1"/>
    </xf>
    <xf numFmtId="49" fontId="72" fillId="0" borderId="41" xfId="46" applyNumberFormat="1" applyFont="1" applyFill="1" applyBorder="1" applyAlignment="1" applyProtection="1">
      <alignment horizontal="center" vertical="top"/>
    </xf>
    <xf numFmtId="49" fontId="72" fillId="0" borderId="42" xfId="46" applyNumberFormat="1" applyFont="1" applyFill="1" applyBorder="1" applyAlignment="1" applyProtection="1">
      <alignment horizontal="center" vertical="top"/>
    </xf>
    <xf numFmtId="49" fontId="72" fillId="0" borderId="63" xfId="46" applyNumberFormat="1" applyFont="1" applyFill="1" applyBorder="1" applyAlignment="1" applyProtection="1">
      <alignment horizontal="center" vertical="top"/>
    </xf>
    <xf numFmtId="0" fontId="79" fillId="17" borderId="41" xfId="48" applyFont="1" applyFill="1" applyBorder="1" applyAlignment="1">
      <alignment horizontal="center" vertical="center"/>
    </xf>
    <xf numFmtId="0" fontId="79" fillId="17" borderId="42" xfId="48" applyFont="1" applyFill="1" applyBorder="1" applyAlignment="1">
      <alignment horizontal="center" vertical="center"/>
    </xf>
    <xf numFmtId="0" fontId="79" fillId="17" borderId="63" xfId="48" applyFont="1" applyFill="1" applyBorder="1" applyAlignment="1">
      <alignment horizontal="center" vertical="center"/>
    </xf>
    <xf numFmtId="49" fontId="72" fillId="0" borderId="22" xfId="46" applyNumberFormat="1" applyFont="1" applyFill="1" applyBorder="1" applyAlignment="1" applyProtection="1">
      <alignment horizontal="center" vertical="top"/>
    </xf>
    <xf numFmtId="49" fontId="72" fillId="0" borderId="43" xfId="46" applyNumberFormat="1" applyFont="1" applyFill="1" applyBorder="1" applyAlignment="1" applyProtection="1">
      <alignment horizontal="center" vertical="top"/>
    </xf>
    <xf numFmtId="49" fontId="72" fillId="0" borderId="44" xfId="46" applyNumberFormat="1" applyFont="1" applyFill="1" applyBorder="1" applyAlignment="1" applyProtection="1">
      <alignment horizontal="center" vertical="top"/>
    </xf>
    <xf numFmtId="0" fontId="76" fillId="17" borderId="86" xfId="48" applyFont="1" applyFill="1" applyBorder="1" applyAlignment="1">
      <alignment horizontal="center" vertical="center"/>
    </xf>
    <xf numFmtId="0" fontId="76" fillId="17" borderId="20" xfId="48" applyFont="1" applyFill="1" applyBorder="1" applyAlignment="1">
      <alignment horizontal="center" vertical="center"/>
    </xf>
    <xf numFmtId="0" fontId="76" fillId="17" borderId="94" xfId="48" applyFont="1" applyFill="1" applyBorder="1" applyAlignment="1">
      <alignment horizontal="center" vertical="center"/>
    </xf>
    <xf numFmtId="175" fontId="72" fillId="0" borderId="42" xfId="46" applyFont="1" applyFill="1" applyBorder="1" applyAlignment="1" applyProtection="1">
      <alignment horizontal="center" vertical="top" wrapText="1"/>
    </xf>
    <xf numFmtId="175" fontId="72" fillId="0" borderId="63" xfId="46" applyFont="1" applyFill="1" applyBorder="1" applyAlignment="1" applyProtection="1">
      <alignment horizontal="center" vertical="top" wrapText="1"/>
    </xf>
    <xf numFmtId="0" fontId="76" fillId="17" borderId="86" xfId="51" applyFont="1" applyFill="1" applyBorder="1" applyAlignment="1">
      <alignment horizontal="center" vertical="center"/>
    </xf>
    <xf numFmtId="0" fontId="76" fillId="17" borderId="20" xfId="51" applyFont="1" applyFill="1" applyBorder="1" applyAlignment="1">
      <alignment horizontal="center" vertical="center"/>
    </xf>
    <xf numFmtId="0" fontId="76" fillId="17" borderId="94" xfId="51" applyFont="1" applyFill="1" applyBorder="1" applyAlignment="1">
      <alignment horizontal="center" vertical="center"/>
    </xf>
    <xf numFmtId="4" fontId="125" fillId="0" borderId="254" xfId="39" applyNumberFormat="1" applyFont="1" applyBorder="1" applyAlignment="1">
      <alignment vertical="center"/>
    </xf>
    <xf numFmtId="4" fontId="125" fillId="0" borderId="255" xfId="39" applyNumberFormat="1" applyFont="1" applyBorder="1" applyAlignment="1">
      <alignment vertical="center"/>
    </xf>
    <xf numFmtId="0" fontId="121" fillId="0" borderId="22" xfId="38" applyFont="1" applyBorder="1" applyAlignment="1">
      <alignment horizontal="center" vertical="center"/>
    </xf>
    <xf numFmtId="0" fontId="121" fillId="0" borderId="43" xfId="38" applyFont="1" applyBorder="1" applyAlignment="1">
      <alignment horizontal="center" vertical="center"/>
    </xf>
    <xf numFmtId="0" fontId="121" fillId="0" borderId="44" xfId="38" applyFont="1" applyBorder="1" applyAlignment="1">
      <alignment horizontal="center" vertical="center"/>
    </xf>
    <xf numFmtId="0" fontId="46" fillId="0" borderId="35" xfId="38" applyFont="1" applyBorder="1" applyAlignment="1">
      <alignment horizontal="center" vertical="center"/>
    </xf>
    <xf numFmtId="0" fontId="46" fillId="0" borderId="0" xfId="38" applyFont="1" applyAlignment="1">
      <alignment horizontal="center" vertical="center"/>
    </xf>
    <xf numFmtId="0" fontId="46" fillId="0" borderId="29" xfId="38" applyFont="1" applyBorder="1" applyAlignment="1">
      <alignment horizontal="center" vertical="center"/>
    </xf>
    <xf numFmtId="0" fontId="121" fillId="0" borderId="232" xfId="38" applyFont="1" applyBorder="1" applyAlignment="1">
      <alignment horizontal="center" vertical="center"/>
    </xf>
    <xf numFmtId="0" fontId="121" fillId="0" borderId="233" xfId="38" applyFont="1" applyBorder="1" applyAlignment="1">
      <alignment horizontal="center" vertical="center"/>
    </xf>
    <xf numFmtId="0" fontId="121" fillId="0" borderId="234" xfId="38" applyFont="1" applyBorder="1" applyAlignment="1">
      <alignment horizontal="center" vertical="center"/>
    </xf>
    <xf numFmtId="0" fontId="123" fillId="29" borderId="23" xfId="39" applyFont="1" applyFill="1" applyBorder="1" applyAlignment="1">
      <alignment horizontal="left" vertical="center" wrapText="1"/>
    </xf>
    <xf numFmtId="0" fontId="123" fillId="29" borderId="51" xfId="39" applyFont="1" applyFill="1" applyBorder="1" applyAlignment="1">
      <alignment horizontal="left" vertical="center" wrapText="1"/>
    </xf>
    <xf numFmtId="0" fontId="123" fillId="29" borderId="52" xfId="39" applyFont="1" applyFill="1" applyBorder="1" applyAlignment="1">
      <alignment horizontal="left" vertical="center" wrapText="1"/>
    </xf>
    <xf numFmtId="4" fontId="125" fillId="0" borderId="12" xfId="39" applyNumberFormat="1" applyFont="1" applyBorder="1" applyAlignment="1">
      <alignment horizontal="right" vertical="center"/>
    </xf>
    <xf numFmtId="4" fontId="125" fillId="0" borderId="3" xfId="39" applyNumberFormat="1" applyFont="1" applyBorder="1" applyAlignment="1">
      <alignment horizontal="right" vertical="center"/>
    </xf>
    <xf numFmtId="4" fontId="125" fillId="0" borderId="251" xfId="39" applyNumberFormat="1" applyFont="1" applyBorder="1" applyAlignment="1">
      <alignment horizontal="right" vertical="center"/>
    </xf>
    <xf numFmtId="4" fontId="125" fillId="0" borderId="252" xfId="39" applyNumberFormat="1" applyFont="1" applyBorder="1" applyAlignment="1">
      <alignment horizontal="right" vertical="center"/>
    </xf>
    <xf numFmtId="4" fontId="123" fillId="8" borderId="236" xfId="39" applyNumberFormat="1" applyFont="1" applyFill="1" applyBorder="1" applyAlignment="1">
      <alignment vertical="center"/>
    </xf>
    <xf numFmtId="4" fontId="123" fillId="8" borderId="237" xfId="39" applyNumberFormat="1" applyFont="1" applyFill="1" applyBorder="1" applyAlignment="1">
      <alignment vertical="center"/>
    </xf>
    <xf numFmtId="4" fontId="125" fillId="0" borderId="245" xfId="39" applyNumberFormat="1" applyFont="1" applyBorder="1" applyAlignment="1">
      <alignment horizontal="right" vertical="center"/>
    </xf>
    <xf numFmtId="4" fontId="125" fillId="0" borderId="246" xfId="39" applyNumberFormat="1" applyFont="1" applyBorder="1" applyAlignment="1">
      <alignment horizontal="right" vertical="center"/>
    </xf>
    <xf numFmtId="4" fontId="123" fillId="8" borderId="257" xfId="39" applyNumberFormat="1" applyFont="1" applyFill="1" applyBorder="1" applyAlignment="1">
      <alignment vertical="center"/>
    </xf>
    <xf numFmtId="4" fontId="123" fillId="8" borderId="258" xfId="39" applyNumberFormat="1" applyFont="1" applyFill="1" applyBorder="1" applyAlignment="1">
      <alignment vertical="center"/>
    </xf>
    <xf numFmtId="4" fontId="123" fillId="8" borderId="10" xfId="39" applyNumberFormat="1" applyFont="1" applyFill="1" applyBorder="1" applyAlignment="1">
      <alignment vertical="center"/>
    </xf>
    <xf numFmtId="0" fontId="123" fillId="8" borderId="247" xfId="39" applyFont="1" applyFill="1" applyBorder="1" applyAlignment="1">
      <alignment horizontal="center" vertical="center"/>
    </xf>
    <xf numFmtId="0" fontId="123" fillId="8" borderId="248" xfId="39" applyFont="1" applyFill="1" applyBorder="1" applyAlignment="1">
      <alignment horizontal="center" vertical="center"/>
    </xf>
    <xf numFmtId="0" fontId="123" fillId="8" borderId="249" xfId="39" applyFont="1" applyFill="1" applyBorder="1" applyAlignment="1">
      <alignment horizontal="center" vertical="center"/>
    </xf>
    <xf numFmtId="165" fontId="19" fillId="18" borderId="54" xfId="12" applyNumberFormat="1" applyFont="1" applyFill="1" applyBorder="1" applyAlignment="1">
      <alignment horizontal="left" vertical="center"/>
    </xf>
    <xf numFmtId="165" fontId="19" fillId="18" borderId="84" xfId="12" applyNumberFormat="1" applyFont="1" applyFill="1" applyBorder="1" applyAlignment="1">
      <alignment horizontal="left" vertical="center"/>
    </xf>
    <xf numFmtId="165" fontId="19" fillId="18" borderId="97" xfId="12" applyNumberFormat="1" applyFont="1" applyFill="1" applyBorder="1" applyAlignment="1">
      <alignment horizontal="left" vertical="center"/>
    </xf>
    <xf numFmtId="0" fontId="19" fillId="10" borderId="35" xfId="6" applyFont="1" applyFill="1" applyBorder="1" applyAlignment="1">
      <alignment horizontal="center" vertical="center"/>
    </xf>
    <xf numFmtId="0" fontId="19" fillId="10" borderId="0" xfId="6" applyFont="1" applyFill="1" applyAlignment="1">
      <alignment horizontal="center" vertical="center"/>
    </xf>
    <xf numFmtId="0" fontId="19" fillId="10" borderId="29" xfId="6" applyFont="1" applyFill="1" applyBorder="1" applyAlignment="1">
      <alignment horizontal="center" vertical="center"/>
    </xf>
    <xf numFmtId="0" fontId="11" fillId="10" borderId="35" xfId="6" applyFont="1" applyFill="1" applyBorder="1" applyAlignment="1">
      <alignment horizontal="center" vertical="center"/>
    </xf>
    <xf numFmtId="0" fontId="11" fillId="10" borderId="0" xfId="6" applyFont="1" applyFill="1" applyAlignment="1">
      <alignment horizontal="center" vertical="center"/>
    </xf>
    <xf numFmtId="0" fontId="11" fillId="10" borderId="29" xfId="6" applyFont="1" applyFill="1" applyBorder="1" applyAlignment="1">
      <alignment horizontal="center" vertical="center"/>
    </xf>
    <xf numFmtId="1" fontId="11" fillId="0" borderId="91" xfId="0" applyNumberFormat="1" applyFont="1" applyBorder="1" applyAlignment="1">
      <alignment horizontal="center" vertical="center" wrapText="1"/>
    </xf>
    <xf numFmtId="1" fontId="11" fillId="0" borderId="0" xfId="0" applyNumberFormat="1" applyFont="1" applyAlignment="1">
      <alignment horizontal="center" vertical="center" wrapText="1"/>
    </xf>
    <xf numFmtId="1" fontId="11" fillId="0" borderId="29" xfId="0" applyNumberFormat="1" applyFont="1" applyBorder="1" applyAlignment="1">
      <alignment horizontal="center" vertical="center" wrapText="1"/>
    </xf>
    <xf numFmtId="0" fontId="19" fillId="10" borderId="51" xfId="6" applyFont="1" applyFill="1" applyBorder="1" applyAlignment="1">
      <alignment horizontal="center" vertical="center"/>
    </xf>
    <xf numFmtId="0" fontId="19" fillId="10" borderId="52" xfId="6" applyFont="1" applyFill="1" applyBorder="1" applyAlignment="1">
      <alignment horizontal="center" vertical="center"/>
    </xf>
    <xf numFmtId="1" fontId="19" fillId="0" borderId="73" xfId="0" applyNumberFormat="1" applyFont="1" applyBorder="1" applyAlignment="1">
      <alignment horizontal="center" vertical="center" wrapText="1"/>
    </xf>
    <xf numFmtId="1" fontId="19" fillId="0" borderId="84" xfId="0" applyNumberFormat="1" applyFont="1" applyBorder="1" applyAlignment="1">
      <alignment horizontal="center" vertical="center" wrapText="1"/>
    </xf>
    <xf numFmtId="1" fontId="19" fillId="0" borderId="85" xfId="0" applyNumberFormat="1" applyFont="1" applyBorder="1" applyAlignment="1">
      <alignment horizontal="center" vertical="center" wrapText="1"/>
    </xf>
    <xf numFmtId="0" fontId="20" fillId="0" borderId="24"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24" xfId="0" applyFont="1" applyBorder="1" applyAlignment="1">
      <alignment horizontal="right" vertical="center"/>
    </xf>
    <xf numFmtId="0" fontId="20" fillId="0" borderId="30" xfId="0" applyFont="1" applyBorder="1" applyAlignment="1">
      <alignment horizontal="right" vertical="center"/>
    </xf>
    <xf numFmtId="0" fontId="20" fillId="0" borderId="56"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95" xfId="0" applyFont="1" applyBorder="1" applyAlignment="1">
      <alignment horizontal="center" vertical="center" wrapText="1"/>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56" fillId="0" borderId="39" xfId="0" applyFont="1" applyBorder="1" applyAlignment="1">
      <alignment horizontal="left" vertical="center" wrapText="1"/>
    </xf>
    <xf numFmtId="0" fontId="56" fillId="0" borderId="38" xfId="0" applyFont="1" applyBorder="1" applyAlignment="1">
      <alignment horizontal="left" vertical="center" wrapText="1"/>
    </xf>
    <xf numFmtId="0" fontId="56" fillId="0" borderId="39" xfId="0" applyFont="1" applyBorder="1" applyAlignment="1">
      <alignment horizontal="left" vertical="center"/>
    </xf>
    <xf numFmtId="0" fontId="56" fillId="0" borderId="38" xfId="0" applyFont="1" applyBorder="1" applyAlignment="1">
      <alignment horizontal="left" vertical="center"/>
    </xf>
    <xf numFmtId="0" fontId="11" fillId="10" borderId="22" xfId="6" applyFont="1" applyFill="1" applyBorder="1" applyAlignment="1">
      <alignment horizontal="center" vertical="center"/>
    </xf>
    <xf numFmtId="0" fontId="11" fillId="10" borderId="43" xfId="6" applyFont="1" applyFill="1" applyBorder="1" applyAlignment="1">
      <alignment horizontal="center" vertical="center"/>
    </xf>
    <xf numFmtId="0" fontId="11" fillId="10" borderId="44" xfId="6" applyFont="1" applyFill="1" applyBorder="1" applyAlignment="1">
      <alignment horizontal="center" vertical="center"/>
    </xf>
    <xf numFmtId="165" fontId="21" fillId="0" borderId="30" xfId="12" applyNumberFormat="1" applyFont="1" applyBorder="1" applyAlignment="1">
      <alignment horizontal="right" vertical="center"/>
    </xf>
    <xf numFmtId="165" fontId="20" fillId="0" borderId="30" xfId="12" applyNumberFormat="1" applyFont="1" applyBorder="1" applyAlignment="1">
      <alignment horizontal="left" vertical="center"/>
    </xf>
    <xf numFmtId="165" fontId="21" fillId="0" borderId="39" xfId="10" applyNumberFormat="1" applyFont="1" applyBorder="1" applyAlignment="1">
      <alignment horizontal="center" vertical="center"/>
    </xf>
    <xf numFmtId="165" fontId="21" fillId="0" borderId="38" xfId="10" applyNumberFormat="1" applyFont="1" applyBorder="1" applyAlignment="1">
      <alignment horizontal="center" vertical="center"/>
    </xf>
    <xf numFmtId="165" fontId="20" fillId="14" borderId="62" xfId="12" applyNumberFormat="1" applyFont="1" applyFill="1" applyBorder="1" applyAlignment="1">
      <alignment horizontal="right" vertical="center"/>
    </xf>
    <xf numFmtId="165" fontId="20" fillId="14" borderId="83" xfId="12" applyNumberFormat="1" applyFont="1" applyFill="1" applyBorder="1" applyAlignment="1">
      <alignment horizontal="right" vertical="center"/>
    </xf>
    <xf numFmtId="165" fontId="20" fillId="14" borderId="60" xfId="12" applyNumberFormat="1" applyFont="1" applyFill="1" applyBorder="1" applyAlignment="1">
      <alignment horizontal="right" vertical="center"/>
    </xf>
    <xf numFmtId="0" fontId="20" fillId="0" borderId="56" xfId="0" applyFont="1" applyBorder="1" applyAlignment="1">
      <alignment horizontal="center" vertical="center"/>
    </xf>
    <xf numFmtId="0" fontId="20" fillId="0" borderId="71" xfId="0" applyFont="1" applyBorder="1" applyAlignment="1">
      <alignment horizontal="center" vertical="center"/>
    </xf>
    <xf numFmtId="0" fontId="20" fillId="0" borderId="95" xfId="0" applyFont="1" applyBorder="1" applyAlignment="1">
      <alignment horizontal="center" vertical="center"/>
    </xf>
    <xf numFmtId="165" fontId="20" fillId="0" borderId="56" xfId="12" applyNumberFormat="1" applyFont="1" applyBorder="1" applyAlignment="1">
      <alignment horizontal="center" vertical="center"/>
    </xf>
    <xf numFmtId="165" fontId="20" fillId="0" borderId="71" xfId="12" applyNumberFormat="1" applyFont="1" applyBorder="1" applyAlignment="1">
      <alignment horizontal="center" vertical="center"/>
    </xf>
    <xf numFmtId="165" fontId="20" fillId="0" borderId="95" xfId="12" applyNumberFormat="1" applyFont="1" applyBorder="1" applyAlignment="1">
      <alignment horizontal="center" vertical="center"/>
    </xf>
    <xf numFmtId="165" fontId="21" fillId="0" borderId="39" xfId="12" applyNumberFormat="1" applyFont="1" applyBorder="1" applyAlignment="1">
      <alignment horizontal="center" vertical="center"/>
    </xf>
    <xf numFmtId="165" fontId="21" fillId="0" borderId="37" xfId="12" applyNumberFormat="1" applyFont="1" applyBorder="1" applyAlignment="1">
      <alignment horizontal="center" vertical="center"/>
    </xf>
    <xf numFmtId="165" fontId="21" fillId="0" borderId="40" xfId="12" applyNumberFormat="1" applyFont="1" applyBorder="1" applyAlignment="1">
      <alignment horizontal="center" vertical="center"/>
    </xf>
    <xf numFmtId="0" fontId="58" fillId="9" borderId="30" xfId="0" applyFont="1" applyFill="1" applyBorder="1" applyAlignment="1">
      <alignment horizontal="center" vertical="center"/>
    </xf>
    <xf numFmtId="165" fontId="19" fillId="18" borderId="47" xfId="12" applyNumberFormat="1" applyFont="1" applyFill="1" applyBorder="1" applyAlignment="1">
      <alignment horizontal="center" vertical="top" wrapText="1"/>
    </xf>
    <xf numFmtId="165" fontId="19" fillId="18" borderId="51" xfId="12" applyNumberFormat="1" applyFont="1" applyFill="1" applyBorder="1" applyAlignment="1">
      <alignment horizontal="center" vertical="top" wrapText="1"/>
    </xf>
    <xf numFmtId="165" fontId="19" fillId="18" borderId="96" xfId="12" applyNumberFormat="1" applyFont="1" applyFill="1" applyBorder="1" applyAlignment="1">
      <alignment horizontal="center" vertical="top" wrapText="1"/>
    </xf>
    <xf numFmtId="1" fontId="19" fillId="0" borderId="73" xfId="2" applyNumberFormat="1" applyFont="1" applyBorder="1" applyAlignment="1">
      <alignment horizontal="center" vertical="center" wrapText="1"/>
    </xf>
    <xf numFmtId="1" fontId="19" fillId="0" borderId="84" xfId="2" applyNumberFormat="1" applyFont="1" applyBorder="1" applyAlignment="1">
      <alignment horizontal="center" vertical="center" wrapText="1"/>
    </xf>
    <xf numFmtId="1" fontId="19" fillId="0" borderId="85" xfId="2" applyNumberFormat="1" applyFont="1" applyBorder="1" applyAlignment="1">
      <alignment horizontal="center" vertical="center" wrapText="1"/>
    </xf>
    <xf numFmtId="0" fontId="20" fillId="0" borderId="24" xfId="2" applyFont="1" applyBorder="1" applyAlignment="1">
      <alignment horizontal="center" vertical="center"/>
    </xf>
    <xf numFmtId="0" fontId="20" fillId="0" borderId="30" xfId="2" applyFont="1" applyBorder="1" applyAlignment="1">
      <alignment horizontal="center" vertical="center"/>
    </xf>
    <xf numFmtId="0" fontId="20" fillId="0" borderId="31" xfId="2" applyFont="1" applyBorder="1" applyAlignment="1">
      <alignment horizontal="center" vertical="center"/>
    </xf>
    <xf numFmtId="0" fontId="20" fillId="0" borderId="24" xfId="2" applyFont="1" applyBorder="1" applyAlignment="1">
      <alignment horizontal="right" vertical="center"/>
    </xf>
    <xf numFmtId="0" fontId="20" fillId="0" borderId="30" xfId="2" applyFont="1" applyBorder="1" applyAlignment="1">
      <alignment horizontal="right" vertical="center"/>
    </xf>
    <xf numFmtId="0" fontId="20" fillId="0" borderId="56" xfId="2" applyFont="1" applyBorder="1" applyAlignment="1">
      <alignment horizontal="center" vertical="center" wrapText="1"/>
    </xf>
    <xf numFmtId="0" fontId="20" fillId="0" borderId="71" xfId="2" applyFont="1" applyBorder="1" applyAlignment="1">
      <alignment horizontal="center" vertical="center" wrapText="1"/>
    </xf>
    <xf numFmtId="0" fontId="20" fillId="0" borderId="95" xfId="2" applyFont="1" applyBorder="1" applyAlignment="1">
      <alignment horizontal="center" vertical="center" wrapText="1"/>
    </xf>
    <xf numFmtId="0" fontId="20" fillId="0" borderId="56" xfId="2" applyFont="1" applyBorder="1" applyAlignment="1">
      <alignment horizontal="center" vertical="center"/>
    </xf>
    <xf numFmtId="0" fontId="20" fillId="0" borderId="71" xfId="2" applyFont="1" applyBorder="1" applyAlignment="1">
      <alignment horizontal="center" vertical="center"/>
    </xf>
    <xf numFmtId="0" fontId="20" fillId="0" borderId="95" xfId="2" applyFont="1" applyBorder="1" applyAlignment="1">
      <alignment horizontal="center" vertical="center"/>
    </xf>
    <xf numFmtId="0" fontId="19" fillId="10" borderId="43" xfId="6" applyFont="1" applyFill="1" applyBorder="1" applyAlignment="1">
      <alignment horizontal="center" vertical="center"/>
    </xf>
    <xf numFmtId="0" fontId="19" fillId="10" borderId="44" xfId="6" applyFont="1" applyFill="1" applyBorder="1" applyAlignment="1">
      <alignment horizontal="center" vertical="center"/>
    </xf>
    <xf numFmtId="1" fontId="11" fillId="0" borderId="91" xfId="2" applyNumberFormat="1" applyFont="1" applyBorder="1" applyAlignment="1">
      <alignment horizontal="center" vertical="center" wrapText="1"/>
    </xf>
    <xf numFmtId="1" fontId="11" fillId="0" borderId="0" xfId="2" applyNumberFormat="1" applyFont="1" applyAlignment="1">
      <alignment horizontal="center" vertical="center" wrapText="1"/>
    </xf>
    <xf numFmtId="1" fontId="11" fillId="0" borderId="29" xfId="2" applyNumberFormat="1" applyFont="1" applyBorder="1" applyAlignment="1">
      <alignment horizontal="center" vertical="center" wrapText="1"/>
    </xf>
    <xf numFmtId="0" fontId="62" fillId="9" borderId="30" xfId="0" applyFont="1" applyFill="1" applyBorder="1" applyAlignment="1">
      <alignment horizontal="center" vertical="center"/>
    </xf>
    <xf numFmtId="14" fontId="61" fillId="0" borderId="30" xfId="0" applyNumberFormat="1" applyFont="1" applyBorder="1" applyAlignment="1">
      <alignment horizontal="center" vertical="center"/>
    </xf>
    <xf numFmtId="0" fontId="61" fillId="0" borderId="30" xfId="0" applyFont="1" applyBorder="1" applyAlignment="1">
      <alignment horizontal="center" vertical="center"/>
    </xf>
    <xf numFmtId="0" fontId="62" fillId="0" borderId="30" xfId="0" applyFont="1" applyBorder="1" applyAlignment="1">
      <alignment horizontal="right" vertical="center"/>
    </xf>
    <xf numFmtId="0" fontId="20" fillId="0" borderId="39" xfId="0" applyFont="1" applyBorder="1" applyAlignment="1">
      <alignment horizontal="center" vertical="center"/>
    </xf>
    <xf numFmtId="0" fontId="20" fillId="0" borderId="38" xfId="0" applyFont="1" applyBorder="1" applyAlignment="1">
      <alignment horizontal="center" vertical="center"/>
    </xf>
    <xf numFmtId="165" fontId="19" fillId="14" borderId="33" xfId="12" applyNumberFormat="1" applyFont="1" applyFill="1" applyBorder="1" applyAlignment="1">
      <alignment horizontal="left" vertical="center"/>
    </xf>
    <xf numFmtId="165" fontId="19" fillId="0" borderId="56" xfId="12" applyNumberFormat="1" applyFont="1" applyBorder="1" applyAlignment="1">
      <alignment horizontal="center" vertical="center"/>
    </xf>
    <xf numFmtId="165" fontId="19" fillId="0" borderId="71" xfId="12" applyNumberFormat="1" applyFont="1" applyBorder="1" applyAlignment="1">
      <alignment horizontal="center" vertical="center"/>
    </xf>
    <xf numFmtId="165" fontId="19" fillId="0" borderId="95" xfId="12" applyNumberFormat="1" applyFont="1" applyBorder="1" applyAlignment="1">
      <alignment horizontal="center" vertical="center"/>
    </xf>
    <xf numFmtId="165" fontId="11" fillId="0" borderId="30" xfId="12" applyNumberFormat="1" applyFont="1" applyBorder="1" applyAlignment="1">
      <alignment horizontal="left" vertical="center"/>
    </xf>
    <xf numFmtId="165" fontId="19" fillId="0" borderId="30" xfId="12" applyNumberFormat="1" applyFont="1" applyBorder="1" applyAlignment="1">
      <alignment horizontal="left" vertical="center"/>
    </xf>
    <xf numFmtId="165" fontId="19" fillId="0" borderId="24" xfId="12" applyNumberFormat="1" applyFont="1" applyBorder="1" applyAlignment="1">
      <alignment horizontal="right" vertical="center"/>
    </xf>
    <xf numFmtId="165" fontId="19" fillId="0" borderId="30" xfId="12" applyNumberFormat="1" applyFont="1" applyBorder="1" applyAlignment="1">
      <alignment horizontal="right" vertical="center"/>
    </xf>
    <xf numFmtId="165" fontId="19" fillId="0" borderId="36" xfId="12" applyNumberFormat="1" applyFont="1" applyBorder="1" applyAlignment="1">
      <alignment horizontal="right" vertical="center"/>
    </xf>
    <xf numFmtId="165" fontId="19" fillId="0" borderId="37" xfId="12" applyNumberFormat="1" applyFont="1" applyBorder="1" applyAlignment="1">
      <alignment horizontal="right" vertical="center"/>
    </xf>
    <xf numFmtId="165" fontId="19" fillId="0" borderId="38" xfId="12" applyNumberFormat="1" applyFont="1" applyBorder="1" applyAlignment="1">
      <alignment horizontal="right" vertical="center"/>
    </xf>
    <xf numFmtId="165" fontId="11" fillId="0" borderId="91" xfId="12" applyNumberFormat="1" applyFont="1" applyBorder="1" applyAlignment="1">
      <alignment horizontal="center" vertical="center" wrapText="1"/>
    </xf>
    <xf numFmtId="165" fontId="11" fillId="0" borderId="0" xfId="12" applyNumberFormat="1" applyFont="1" applyAlignment="1">
      <alignment horizontal="center" vertical="center" wrapText="1"/>
    </xf>
    <xf numFmtId="165" fontId="11" fillId="0" borderId="29" xfId="12" applyNumberFormat="1" applyFont="1" applyBorder="1" applyAlignment="1">
      <alignment horizontal="center" vertical="center" wrapText="1"/>
    </xf>
    <xf numFmtId="0" fontId="19" fillId="0" borderId="56" xfId="6" applyFont="1" applyBorder="1" applyAlignment="1">
      <alignment horizontal="center" vertical="center"/>
    </xf>
    <xf numFmtId="0" fontId="19" fillId="0" borderId="71" xfId="6" applyFont="1" applyBorder="1" applyAlignment="1">
      <alignment horizontal="center" vertical="center"/>
    </xf>
    <xf numFmtId="0" fontId="19" fillId="0" borderId="95" xfId="6" applyFont="1" applyBorder="1" applyAlignment="1">
      <alignment horizontal="center" vertical="center"/>
    </xf>
    <xf numFmtId="165" fontId="11" fillId="0" borderId="39" xfId="12" applyNumberFormat="1" applyFont="1" applyBorder="1" applyAlignment="1">
      <alignment horizontal="right" vertical="center"/>
    </xf>
    <xf numFmtId="165" fontId="11" fillId="0" borderId="37" xfId="12" applyNumberFormat="1" applyFont="1" applyBorder="1" applyAlignment="1">
      <alignment horizontal="right" vertical="center"/>
    </xf>
    <xf numFmtId="165" fontId="11" fillId="0" borderId="40" xfId="12" applyNumberFormat="1" applyFont="1" applyBorder="1" applyAlignment="1">
      <alignment horizontal="right" vertical="center"/>
    </xf>
    <xf numFmtId="0" fontId="60" fillId="10" borderId="35" xfId="0" applyFont="1" applyFill="1" applyBorder="1" applyAlignment="1">
      <alignment horizontal="center"/>
    </xf>
    <xf numFmtId="0" fontId="60" fillId="10" borderId="0" xfId="0" applyFont="1" applyFill="1" applyAlignment="1">
      <alignment horizontal="center"/>
    </xf>
    <xf numFmtId="0" fontId="60" fillId="10" borderId="29" xfId="0" applyFont="1" applyFill="1" applyBorder="1" applyAlignment="1">
      <alignment horizontal="center"/>
    </xf>
    <xf numFmtId="0" fontId="52" fillId="10" borderId="35" xfId="0" applyFont="1" applyFill="1" applyBorder="1" applyAlignment="1">
      <alignment horizontal="center" vertical="center"/>
    </xf>
    <xf numFmtId="0" fontId="52" fillId="10" borderId="0" xfId="0" applyFont="1" applyFill="1" applyAlignment="1">
      <alignment horizontal="center" vertical="center"/>
    </xf>
    <xf numFmtId="0" fontId="52" fillId="10" borderId="29" xfId="0" applyFont="1" applyFill="1" applyBorder="1" applyAlignment="1">
      <alignment horizontal="center" vertical="center"/>
    </xf>
    <xf numFmtId="0" fontId="53" fillId="10" borderId="23" xfId="0" applyFont="1" applyFill="1" applyBorder="1" applyAlignment="1">
      <alignment horizontal="center" vertical="center"/>
    </xf>
    <xf numFmtId="0" fontId="53" fillId="10" borderId="51" xfId="0" applyFont="1" applyFill="1" applyBorder="1" applyAlignment="1">
      <alignment horizontal="center" vertical="center"/>
    </xf>
    <xf numFmtId="0" fontId="53" fillId="10" borderId="52" xfId="0" applyFont="1" applyFill="1" applyBorder="1" applyAlignment="1">
      <alignment horizontal="center" vertical="center"/>
    </xf>
    <xf numFmtId="0" fontId="19" fillId="0" borderId="24" xfId="6" applyFont="1" applyBorder="1" applyAlignment="1">
      <alignment horizontal="center" vertical="center"/>
    </xf>
    <xf numFmtId="0" fontId="19" fillId="0" borderId="30" xfId="6" applyFont="1" applyBorder="1" applyAlignment="1">
      <alignment horizontal="center" vertical="center"/>
    </xf>
    <xf numFmtId="0" fontId="19" fillId="0" borderId="31" xfId="6" applyFont="1" applyBorder="1" applyAlignment="1">
      <alignment horizontal="center" vertical="center"/>
    </xf>
    <xf numFmtId="165" fontId="19" fillId="18" borderId="35" xfId="12" applyNumberFormat="1" applyFont="1" applyFill="1" applyBorder="1" applyAlignment="1">
      <alignment horizontal="center" vertical="center" wrapText="1"/>
    </xf>
    <xf numFmtId="165" fontId="19" fillId="18" borderId="23" xfId="12" applyNumberFormat="1" applyFont="1" applyFill="1" applyBorder="1" applyAlignment="1">
      <alignment horizontal="center" vertical="center" wrapText="1"/>
    </xf>
    <xf numFmtId="165" fontId="19" fillId="18" borderId="48" xfId="12" applyNumberFormat="1" applyFont="1" applyFill="1" applyBorder="1" applyAlignment="1">
      <alignment horizontal="left" vertical="center" wrapText="1"/>
    </xf>
    <xf numFmtId="165" fontId="19" fillId="18" borderId="0" xfId="12" applyNumberFormat="1" applyFont="1" applyFill="1" applyAlignment="1">
      <alignment horizontal="left" vertical="center" wrapText="1"/>
    </xf>
    <xf numFmtId="165" fontId="19" fillId="18" borderId="98" xfId="12" applyNumberFormat="1" applyFont="1" applyFill="1" applyBorder="1" applyAlignment="1">
      <alignment horizontal="left" vertical="center" wrapText="1"/>
    </xf>
    <xf numFmtId="165" fontId="19" fillId="18" borderId="47" xfId="12" applyNumberFormat="1" applyFont="1" applyFill="1" applyBorder="1" applyAlignment="1">
      <alignment horizontal="left" vertical="center" wrapText="1"/>
    </xf>
    <xf numFmtId="165" fontId="19" fillId="18" borderId="51" xfId="12" applyNumberFormat="1" applyFont="1" applyFill="1" applyBorder="1" applyAlignment="1">
      <alignment horizontal="left" vertical="center" wrapText="1"/>
    </xf>
    <xf numFmtId="165" fontId="19" fillId="18" borderId="96" xfId="12" applyNumberFormat="1" applyFont="1" applyFill="1" applyBorder="1" applyAlignment="1">
      <alignment horizontal="left" vertical="center" wrapText="1"/>
    </xf>
    <xf numFmtId="165" fontId="19" fillId="0" borderId="99" xfId="12" applyNumberFormat="1" applyFont="1" applyBorder="1" applyAlignment="1">
      <alignment horizontal="center" vertical="center" wrapText="1"/>
    </xf>
    <xf numFmtId="165" fontId="19" fillId="0" borderId="100" xfId="12" applyNumberFormat="1" applyFont="1" applyBorder="1" applyAlignment="1">
      <alignment horizontal="center" vertical="center" wrapText="1"/>
    </xf>
    <xf numFmtId="165" fontId="19" fillId="0" borderId="101" xfId="12" applyNumberFormat="1" applyFont="1" applyBorder="1" applyAlignment="1">
      <alignment horizontal="center" vertical="center" wrapText="1"/>
    </xf>
    <xf numFmtId="0" fontId="49" fillId="0" borderId="36" xfId="0" applyFont="1" applyBorder="1" applyAlignment="1">
      <alignment horizontal="center" vertical="center"/>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56" xfId="0" applyFont="1" applyBorder="1" applyAlignment="1">
      <alignment horizontal="center" vertical="center"/>
    </xf>
    <xf numFmtId="0" fontId="49" fillId="0" borderId="71" xfId="0" applyFont="1" applyBorder="1" applyAlignment="1">
      <alignment horizontal="center" vertical="center"/>
    </xf>
    <xf numFmtId="0" fontId="49" fillId="0" borderId="64" xfId="0" applyFont="1" applyBorder="1" applyAlignment="1">
      <alignment horizontal="center" vertical="center"/>
    </xf>
    <xf numFmtId="0" fontId="49" fillId="8" borderId="32" xfId="0" applyFont="1" applyFill="1" applyBorder="1" applyAlignment="1">
      <alignment horizontal="center" vertical="center"/>
    </xf>
    <xf numFmtId="0" fontId="49" fillId="8" borderId="33" xfId="0" applyFont="1" applyFill="1" applyBorder="1" applyAlignment="1">
      <alignment horizontal="center" vertical="center"/>
    </xf>
    <xf numFmtId="0" fontId="48" fillId="0" borderId="0" xfId="0" applyFont="1" applyAlignment="1">
      <alignment horizontal="left" vertical="center"/>
    </xf>
    <xf numFmtId="0" fontId="49" fillId="8" borderId="35" xfId="0" applyFont="1" applyFill="1" applyBorder="1" applyAlignment="1">
      <alignment horizontal="center" vertical="center"/>
    </xf>
    <xf numFmtId="0" fontId="49" fillId="8" borderId="56" xfId="0" applyFont="1" applyFill="1" applyBorder="1" applyAlignment="1">
      <alignment horizontal="center" vertical="center"/>
    </xf>
    <xf numFmtId="0" fontId="49" fillId="8" borderId="45" xfId="0" applyFont="1" applyFill="1" applyBorder="1" applyAlignment="1">
      <alignment horizontal="center" vertical="center"/>
    </xf>
    <xf numFmtId="0" fontId="49" fillId="8" borderId="59" xfId="0" applyFont="1" applyFill="1" applyBorder="1" applyAlignment="1">
      <alignment horizontal="center" vertical="center"/>
    </xf>
    <xf numFmtId="0" fontId="49" fillId="8" borderId="15" xfId="0" applyFont="1" applyFill="1" applyBorder="1" applyAlignment="1">
      <alignment horizontal="center" vertical="center"/>
    </xf>
    <xf numFmtId="0" fontId="49" fillId="8" borderId="36" xfId="0" applyFont="1" applyFill="1" applyBorder="1" applyAlignment="1">
      <alignment horizontal="center" vertical="center" wrapText="1"/>
    </xf>
    <xf numFmtId="0" fontId="49" fillId="8" borderId="37" xfId="0" applyFont="1" applyFill="1" applyBorder="1" applyAlignment="1">
      <alignment horizontal="center" vertical="center" wrapText="1"/>
    </xf>
    <xf numFmtId="0" fontId="49" fillId="8" borderId="40" xfId="0" applyFont="1" applyFill="1" applyBorder="1" applyAlignment="1">
      <alignment horizontal="center" vertical="center" wrapText="1"/>
    </xf>
    <xf numFmtId="0" fontId="65" fillId="18" borderId="26" xfId="0" applyFont="1" applyFill="1" applyBorder="1" applyAlignment="1">
      <alignment horizontal="center" vertical="center"/>
    </xf>
    <xf numFmtId="0" fontId="65" fillId="18" borderId="27" xfId="0" applyFont="1" applyFill="1" applyBorder="1" applyAlignment="1">
      <alignment horizontal="center" vertical="center"/>
    </xf>
    <xf numFmtId="0" fontId="65" fillId="18" borderId="46" xfId="0" applyFont="1" applyFill="1" applyBorder="1" applyAlignment="1">
      <alignment horizontal="center" vertical="center"/>
    </xf>
    <xf numFmtId="0" fontId="50" fillId="10" borderId="35" xfId="0" applyFont="1" applyFill="1" applyBorder="1" applyAlignment="1">
      <alignment horizontal="center" vertical="center"/>
    </xf>
    <xf numFmtId="0" fontId="50" fillId="10" borderId="0" xfId="0" applyFont="1" applyFill="1" applyAlignment="1">
      <alignment horizontal="center" vertical="center"/>
    </xf>
    <xf numFmtId="0" fontId="50" fillId="10" borderId="29" xfId="0" applyFont="1" applyFill="1" applyBorder="1" applyAlignment="1">
      <alignment horizontal="center" vertical="center"/>
    </xf>
    <xf numFmtId="0" fontId="66" fillId="0" borderId="91" xfId="0" applyFont="1" applyBorder="1" applyAlignment="1">
      <alignment horizontal="center" vertical="center" wrapText="1"/>
    </xf>
    <xf numFmtId="0" fontId="66" fillId="0" borderId="0" xfId="0" applyFont="1" applyAlignment="1">
      <alignment horizontal="center" vertical="center" wrapText="1"/>
    </xf>
    <xf numFmtId="0" fontId="66" fillId="0" borderId="29" xfId="0" applyFont="1" applyBorder="1" applyAlignment="1">
      <alignment horizontal="center" vertical="center" wrapText="1"/>
    </xf>
    <xf numFmtId="0" fontId="65" fillId="0" borderId="99" xfId="0" applyFont="1" applyBorder="1" applyAlignment="1">
      <alignment horizontal="center" vertical="center" wrapText="1"/>
    </xf>
    <xf numFmtId="0" fontId="65" fillId="0" borderId="100" xfId="0" applyFont="1" applyBorder="1" applyAlignment="1">
      <alignment horizontal="center" vertical="center" wrapText="1"/>
    </xf>
    <xf numFmtId="0" fontId="65" fillId="0" borderId="101" xfId="0" applyFont="1" applyBorder="1" applyAlignment="1">
      <alignment horizontal="center" vertical="center" wrapText="1"/>
    </xf>
    <xf numFmtId="0" fontId="49" fillId="8" borderId="48" xfId="0" applyFont="1" applyFill="1" applyBorder="1" applyAlignment="1">
      <alignment horizontal="center" vertical="center"/>
    </xf>
    <xf numFmtId="0" fontId="49" fillId="8" borderId="98" xfId="0" applyFont="1" applyFill="1" applyBorder="1" applyAlignment="1">
      <alignment horizontal="center" vertical="center"/>
    </xf>
    <xf numFmtId="0" fontId="49" fillId="8" borderId="29" xfId="0" applyFont="1" applyFill="1" applyBorder="1" applyAlignment="1">
      <alignment horizontal="center" vertical="center"/>
    </xf>
    <xf numFmtId="0" fontId="50" fillId="10" borderId="22" xfId="0" applyFont="1" applyFill="1" applyBorder="1" applyAlignment="1">
      <alignment horizontal="center" vertical="center"/>
    </xf>
    <xf numFmtId="0" fontId="50" fillId="10" borderId="43" xfId="0" applyFont="1" applyFill="1" applyBorder="1" applyAlignment="1">
      <alignment horizontal="center" vertical="center"/>
    </xf>
    <xf numFmtId="0" fontId="50" fillId="10" borderId="44" xfId="0" applyFont="1" applyFill="1" applyBorder="1" applyAlignment="1">
      <alignment horizontal="center" vertical="center"/>
    </xf>
    <xf numFmtId="0" fontId="65" fillId="10" borderId="35" xfId="0" applyFont="1" applyFill="1" applyBorder="1" applyAlignment="1">
      <alignment horizontal="center" vertical="center"/>
    </xf>
    <xf numFmtId="0" fontId="65" fillId="10" borderId="0" xfId="0" applyFont="1" applyFill="1" applyAlignment="1">
      <alignment horizontal="center" vertical="center"/>
    </xf>
    <xf numFmtId="0" fontId="65" fillId="10" borderId="29" xfId="0" applyFont="1" applyFill="1" applyBorder="1" applyAlignment="1">
      <alignment horizontal="center" vertical="center"/>
    </xf>
    <xf numFmtId="0" fontId="48" fillId="10" borderId="35" xfId="0" applyFont="1" applyFill="1" applyBorder="1" applyAlignment="1">
      <alignment horizontal="center" vertical="center"/>
    </xf>
    <xf numFmtId="0" fontId="48" fillId="10" borderId="0" xfId="0" applyFont="1" applyFill="1" applyAlignment="1">
      <alignment horizontal="center" vertical="center"/>
    </xf>
    <xf numFmtId="0" fontId="48" fillId="10" borderId="29" xfId="0" applyFont="1" applyFill="1" applyBorder="1" applyAlignment="1">
      <alignment horizontal="center" vertical="center"/>
    </xf>
    <xf numFmtId="0" fontId="50" fillId="10" borderId="23" xfId="0" applyFont="1" applyFill="1" applyBorder="1" applyAlignment="1">
      <alignment horizontal="center" vertical="center"/>
    </xf>
    <xf numFmtId="0" fontId="50" fillId="10" borderId="51" xfId="0" applyFont="1" applyFill="1" applyBorder="1" applyAlignment="1">
      <alignment horizontal="center" vertical="center"/>
    </xf>
    <xf numFmtId="0" fontId="50" fillId="10" borderId="52" xfId="0" applyFont="1" applyFill="1" applyBorder="1" applyAlignment="1">
      <alignment horizontal="center" vertical="center"/>
    </xf>
    <xf numFmtId="0" fontId="10" fillId="10" borderId="22" xfId="0" applyFont="1" applyFill="1" applyBorder="1" applyAlignment="1" applyProtection="1">
      <alignment horizontal="center" vertical="center"/>
      <protection locked="0"/>
    </xf>
    <xf numFmtId="0" fontId="10" fillId="10" borderId="43" xfId="0" applyFont="1" applyFill="1" applyBorder="1" applyAlignment="1" applyProtection="1">
      <alignment horizontal="center" vertical="center"/>
      <protection locked="0"/>
    </xf>
    <xf numFmtId="0" fontId="10" fillId="10" borderId="44" xfId="0" applyFont="1" applyFill="1" applyBorder="1" applyAlignment="1" applyProtection="1">
      <alignment horizontal="center" vertical="center"/>
      <protection locked="0"/>
    </xf>
    <xf numFmtId="2" fontId="18" fillId="10" borderId="35" xfId="15" applyNumberFormat="1" applyFont="1" applyFill="1" applyBorder="1" applyAlignment="1" applyProtection="1">
      <alignment horizontal="center" vertical="center"/>
      <protection locked="0"/>
    </xf>
    <xf numFmtId="2" fontId="18" fillId="10" borderId="0" xfId="15" applyNumberFormat="1" applyFont="1" applyFill="1" applyAlignment="1" applyProtection="1">
      <alignment horizontal="center" vertical="center"/>
      <protection locked="0"/>
    </xf>
    <xf numFmtId="2" fontId="18" fillId="10" borderId="29" xfId="15" applyNumberFormat="1" applyFont="1" applyFill="1" applyBorder="1" applyAlignment="1" applyProtection="1">
      <alignment horizontal="center" vertical="center"/>
      <protection locked="0"/>
    </xf>
    <xf numFmtId="2" fontId="14" fillId="10" borderId="35" xfId="15" applyNumberFormat="1" applyFont="1" applyFill="1" applyBorder="1" applyAlignment="1" applyProtection="1">
      <alignment horizontal="center" vertical="center"/>
      <protection locked="0"/>
    </xf>
    <xf numFmtId="2" fontId="14" fillId="10" borderId="0" xfId="15" applyNumberFormat="1" applyFont="1" applyFill="1" applyAlignment="1" applyProtection="1">
      <alignment horizontal="center" vertical="center"/>
      <protection locked="0"/>
    </xf>
    <xf numFmtId="2" fontId="14" fillId="10" borderId="29" xfId="15" applyNumberFormat="1" applyFont="1" applyFill="1" applyBorder="1" applyAlignment="1" applyProtection="1">
      <alignment horizontal="center" vertical="center"/>
      <protection locked="0"/>
    </xf>
    <xf numFmtId="0" fontId="13" fillId="10" borderId="51" xfId="15" applyFont="1" applyFill="1" applyBorder="1" applyAlignment="1" applyProtection="1">
      <alignment horizontal="center" vertical="center"/>
      <protection locked="0"/>
    </xf>
    <xf numFmtId="169" fontId="13" fillId="10" borderId="51" xfId="0" applyNumberFormat="1" applyFont="1" applyFill="1" applyBorder="1" applyAlignment="1" applyProtection="1">
      <alignment horizontal="center" vertical="center"/>
      <protection locked="0"/>
    </xf>
    <xf numFmtId="169" fontId="13" fillId="10" borderId="52" xfId="0" applyNumberFormat="1" applyFont="1" applyFill="1" applyBorder="1" applyAlignment="1" applyProtection="1">
      <alignment horizontal="center" vertical="center"/>
      <protection locked="0"/>
    </xf>
    <xf numFmtId="0" fontId="12" fillId="0" borderId="35" xfId="14" applyFont="1" applyBorder="1" applyAlignment="1">
      <alignment horizontal="center" vertical="center" wrapText="1"/>
    </xf>
    <xf numFmtId="0" fontId="12" fillId="0" borderId="0" xfId="14" applyFont="1" applyAlignment="1">
      <alignment horizontal="center" vertical="center" wrapText="1"/>
    </xf>
    <xf numFmtId="0" fontId="12" fillId="0" borderId="29" xfId="14" applyFont="1" applyBorder="1" applyAlignment="1">
      <alignment horizontal="center" vertical="center" wrapText="1"/>
    </xf>
    <xf numFmtId="0" fontId="14" fillId="0" borderId="91" xfId="14" applyFont="1" applyBorder="1" applyAlignment="1">
      <alignment horizontal="center" vertical="center" wrapText="1"/>
    </xf>
    <xf numFmtId="0" fontId="14" fillId="0" borderId="0" xfId="14" applyFont="1" applyAlignment="1">
      <alignment horizontal="center" vertical="center" wrapText="1"/>
    </xf>
    <xf numFmtId="0" fontId="14" fillId="0" borderId="29" xfId="14" applyFont="1" applyBorder="1" applyAlignment="1">
      <alignment horizontal="center" vertical="center" wrapText="1"/>
    </xf>
    <xf numFmtId="0" fontId="15" fillId="0" borderId="39"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2" fillId="18" borderId="78" xfId="14" applyFont="1" applyFill="1" applyBorder="1" applyAlignment="1">
      <alignment horizontal="center" vertical="center" wrapText="1"/>
    </xf>
    <xf numFmtId="0" fontId="12" fillId="18" borderId="79" xfId="14" applyFont="1" applyFill="1" applyBorder="1" applyAlignment="1">
      <alignment horizontal="center" vertical="center" wrapText="1"/>
    </xf>
    <xf numFmtId="0" fontId="12" fillId="18" borderId="80" xfId="14" applyFont="1" applyFill="1" applyBorder="1" applyAlignment="1">
      <alignment horizontal="center" vertical="center" wrapText="1"/>
    </xf>
    <xf numFmtId="0" fontId="12" fillId="0" borderId="99" xfId="14" applyFont="1" applyBorder="1" applyAlignment="1">
      <alignment horizontal="center" vertical="center" wrapText="1"/>
    </xf>
    <xf numFmtId="0" fontId="12" fillId="0" borderId="100" xfId="14" applyFont="1" applyBorder="1" applyAlignment="1">
      <alignment horizontal="center" vertical="center" wrapText="1"/>
    </xf>
    <xf numFmtId="0" fontId="12" fillId="0" borderId="101" xfId="14" applyFont="1" applyBorder="1" applyAlignment="1">
      <alignment horizontal="center" vertical="center" wrapText="1"/>
    </xf>
    <xf numFmtId="0" fontId="15" fillId="0" borderId="102"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104" xfId="0" applyFont="1" applyBorder="1" applyAlignment="1">
      <alignment horizontal="center" vertical="center" wrapText="1"/>
    </xf>
    <xf numFmtId="0" fontId="15" fillId="8" borderId="36" xfId="0" applyFont="1" applyFill="1" applyBorder="1" applyAlignment="1">
      <alignment horizontal="right" vertical="center"/>
    </xf>
    <xf numFmtId="0" fontId="15" fillId="8" borderId="37" xfId="0" applyFont="1" applyFill="1" applyBorder="1" applyAlignment="1">
      <alignment horizontal="right" vertical="center"/>
    </xf>
    <xf numFmtId="0" fontId="15" fillId="8" borderId="38" xfId="0" applyFont="1" applyFill="1" applyBorder="1" applyAlignment="1">
      <alignment horizontal="right"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2" fillId="18" borderId="35" xfId="0" applyFont="1" applyFill="1" applyBorder="1" applyAlignment="1">
      <alignment horizontal="center" vertical="center" wrapText="1"/>
    </xf>
    <xf numFmtId="0" fontId="12" fillId="18" borderId="0" xfId="0" applyFont="1" applyFill="1" applyAlignment="1">
      <alignment horizontal="center" vertical="center" wrapText="1"/>
    </xf>
    <xf numFmtId="0" fontId="12" fillId="18" borderId="29" xfId="0" applyFont="1" applyFill="1" applyBorder="1" applyAlignment="1">
      <alignment horizontal="center" vertical="center" wrapText="1"/>
    </xf>
    <xf numFmtId="0" fontId="15" fillId="0" borderId="55" xfId="0" applyFont="1" applyBorder="1" applyAlignment="1">
      <alignment horizontal="left" vertical="center"/>
    </xf>
    <xf numFmtId="0" fontId="15" fillId="0" borderId="83" xfId="0" applyFont="1" applyBorder="1" applyAlignment="1">
      <alignment horizontal="left" vertical="center"/>
    </xf>
    <xf numFmtId="0" fontId="15" fillId="0" borderId="60" xfId="0" applyFont="1" applyBorder="1" applyAlignment="1">
      <alignment horizontal="left"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center" wrapText="1"/>
    </xf>
    <xf numFmtId="0" fontId="14" fillId="0" borderId="29" xfId="0" applyFont="1" applyBorder="1" applyAlignment="1">
      <alignment horizontal="center" wrapText="1"/>
    </xf>
    <xf numFmtId="0" fontId="14" fillId="0" borderId="42" xfId="0" applyFont="1" applyBorder="1" applyAlignment="1">
      <alignment horizontal="center" wrapText="1"/>
    </xf>
    <xf numFmtId="0" fontId="14" fillId="0" borderId="63" xfId="0" applyFont="1" applyBorder="1" applyAlignment="1">
      <alignment horizontal="center" wrapText="1"/>
    </xf>
    <xf numFmtId="0" fontId="12" fillId="0" borderId="35" xfId="0" applyFont="1" applyBorder="1" applyAlignment="1">
      <alignment horizontal="left" vertical="center"/>
    </xf>
    <xf numFmtId="0" fontId="12"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35" xfId="0" applyFont="1" applyBorder="1" applyAlignment="1">
      <alignment horizontal="center"/>
    </xf>
    <xf numFmtId="0" fontId="14" fillId="0" borderId="0" xfId="0" applyFont="1" applyAlignment="1">
      <alignment horizontal="center"/>
    </xf>
    <xf numFmtId="165" fontId="22" fillId="14" borderId="33" xfId="12" applyNumberFormat="1" applyFont="1" applyFill="1" applyBorder="1" applyAlignment="1">
      <alignment horizontal="left" vertical="center"/>
    </xf>
    <xf numFmtId="165" fontId="22" fillId="0" borderId="56" xfId="12" applyNumberFormat="1" applyFont="1" applyBorder="1" applyAlignment="1">
      <alignment horizontal="center" vertical="center"/>
    </xf>
    <xf numFmtId="165" fontId="22" fillId="0" borderId="71" xfId="12" applyNumberFormat="1" applyFont="1" applyBorder="1" applyAlignment="1">
      <alignment horizontal="center" vertical="center"/>
    </xf>
    <xf numFmtId="165" fontId="22" fillId="0" borderId="95" xfId="12" applyNumberFormat="1" applyFont="1" applyBorder="1" applyAlignment="1">
      <alignment horizontal="center" vertical="center"/>
    </xf>
    <xf numFmtId="165" fontId="23" fillId="0" borderId="30" xfId="12" applyNumberFormat="1" applyFont="1" applyBorder="1" applyAlignment="1">
      <alignment horizontal="left" vertical="center"/>
    </xf>
    <xf numFmtId="0" fontId="55" fillId="10" borderId="35" xfId="0" applyFont="1" applyFill="1" applyBorder="1" applyAlignment="1">
      <alignment horizontal="center" vertical="center"/>
    </xf>
    <xf numFmtId="0" fontId="55" fillId="10" borderId="0" xfId="0" applyFont="1" applyFill="1" applyAlignment="1">
      <alignment horizontal="center" vertical="center"/>
    </xf>
    <xf numFmtId="0" fontId="55" fillId="10" borderId="29" xfId="0" applyFont="1" applyFill="1" applyBorder="1" applyAlignment="1">
      <alignment horizontal="center" vertical="center"/>
    </xf>
    <xf numFmtId="0" fontId="54" fillId="10" borderId="35" xfId="0" applyFont="1" applyFill="1" applyBorder="1" applyAlignment="1">
      <alignment horizontal="center" vertical="center"/>
    </xf>
    <xf numFmtId="0" fontId="54" fillId="10" borderId="0" xfId="0" applyFont="1" applyFill="1" applyAlignment="1">
      <alignment horizontal="center" vertical="center"/>
    </xf>
    <xf numFmtId="0" fontId="54" fillId="10" borderId="29" xfId="0" applyFont="1" applyFill="1" applyBorder="1" applyAlignment="1">
      <alignment horizontal="center" vertical="center"/>
    </xf>
    <xf numFmtId="0" fontId="55" fillId="10" borderId="23" xfId="0" applyFont="1" applyFill="1" applyBorder="1" applyAlignment="1">
      <alignment horizontal="center" vertical="center"/>
    </xf>
    <xf numFmtId="0" fontId="55" fillId="10" borderId="51" xfId="0" applyFont="1" applyFill="1" applyBorder="1" applyAlignment="1">
      <alignment horizontal="center" vertical="center"/>
    </xf>
    <xf numFmtId="0" fontId="55" fillId="10" borderId="52" xfId="0" applyFont="1" applyFill="1" applyBorder="1" applyAlignment="1">
      <alignment horizontal="center" vertical="center"/>
    </xf>
    <xf numFmtId="165" fontId="22" fillId="0" borderId="30" xfId="12" applyNumberFormat="1" applyFont="1" applyBorder="1" applyAlignment="1">
      <alignment horizontal="left" vertical="center"/>
    </xf>
    <xf numFmtId="0" fontId="22" fillId="0" borderId="56" xfId="6" applyFont="1" applyBorder="1" applyAlignment="1">
      <alignment horizontal="center" vertical="center"/>
    </xf>
    <xf numFmtId="0" fontId="22" fillId="0" borderId="71" xfId="6" applyFont="1" applyBorder="1" applyAlignment="1">
      <alignment horizontal="center" vertical="center"/>
    </xf>
    <xf numFmtId="0" fontId="22" fillId="0" borderId="95" xfId="6" applyFont="1" applyBorder="1" applyAlignment="1">
      <alignment horizontal="center" vertical="center"/>
    </xf>
    <xf numFmtId="165" fontId="22" fillId="0" borderId="99" xfId="12" applyNumberFormat="1" applyFont="1" applyBorder="1" applyAlignment="1">
      <alignment horizontal="center" vertical="center" wrapText="1"/>
    </xf>
    <xf numFmtId="165" fontId="22" fillId="0" borderId="100" xfId="12" applyNumberFormat="1" applyFont="1" applyBorder="1" applyAlignment="1">
      <alignment horizontal="center" vertical="center" wrapText="1"/>
    </xf>
    <xf numFmtId="165" fontId="22" fillId="0" borderId="101" xfId="12" applyNumberFormat="1" applyFont="1" applyBorder="1" applyAlignment="1">
      <alignment horizontal="center" vertical="center" wrapText="1"/>
    </xf>
    <xf numFmtId="165" fontId="22" fillId="18" borderId="73" xfId="12" applyNumberFormat="1" applyFont="1" applyFill="1" applyBorder="1" applyAlignment="1">
      <alignment horizontal="center" vertical="center" wrapText="1"/>
    </xf>
    <xf numFmtId="165" fontId="22" fillId="18" borderId="23" xfId="12" applyNumberFormat="1" applyFont="1" applyFill="1" applyBorder="1" applyAlignment="1">
      <alignment horizontal="center" vertical="center" wrapText="1"/>
    </xf>
    <xf numFmtId="165" fontId="22" fillId="18" borderId="54" xfId="12" applyNumberFormat="1" applyFont="1" applyFill="1" applyBorder="1" applyAlignment="1">
      <alignment horizontal="center" vertical="center" wrapText="1"/>
    </xf>
    <xf numFmtId="165" fontId="22" fillId="18" borderId="84" xfId="12" applyNumberFormat="1" applyFont="1" applyFill="1" applyBorder="1" applyAlignment="1">
      <alignment horizontal="center" vertical="center" wrapText="1"/>
    </xf>
    <xf numFmtId="165" fontId="22" fillId="18" borderId="47" xfId="12" applyNumberFormat="1" applyFont="1" applyFill="1" applyBorder="1" applyAlignment="1">
      <alignment horizontal="center" vertical="center" wrapText="1"/>
    </xf>
    <xf numFmtId="165" fontId="22" fillId="18" borderId="51" xfId="12" applyNumberFormat="1" applyFont="1" applyFill="1" applyBorder="1" applyAlignment="1">
      <alignment horizontal="center" vertical="center" wrapText="1"/>
    </xf>
    <xf numFmtId="165" fontId="22" fillId="0" borderId="30" xfId="12" applyNumberFormat="1" applyFont="1" applyBorder="1" applyAlignment="1">
      <alignment horizontal="right" vertical="center"/>
    </xf>
    <xf numFmtId="0" fontId="22" fillId="0" borderId="30" xfId="6" applyFont="1" applyBorder="1" applyAlignment="1">
      <alignment horizontal="center" vertical="center"/>
    </xf>
    <xf numFmtId="165" fontId="46" fillId="11" borderId="27" xfId="12" applyNumberFormat="1" applyFont="1" applyFill="1" applyBorder="1" applyAlignment="1">
      <alignment horizontal="center" vertical="center" wrapText="1"/>
    </xf>
    <xf numFmtId="165" fontId="46" fillId="11" borderId="105" xfId="12" applyNumberFormat="1" applyFont="1" applyFill="1" applyBorder="1" applyAlignment="1">
      <alignment horizontal="center" vertical="center" wrapText="1"/>
    </xf>
    <xf numFmtId="165" fontId="46" fillId="11" borderId="80" xfId="12" applyNumberFormat="1" applyFont="1" applyFill="1" applyBorder="1" applyAlignment="1">
      <alignment horizontal="center" vertical="center" wrapText="1"/>
    </xf>
    <xf numFmtId="165" fontId="44" fillId="0" borderId="106" xfId="12" applyNumberFormat="1" applyFont="1" applyBorder="1" applyAlignment="1">
      <alignment horizontal="center" vertical="center"/>
    </xf>
    <xf numFmtId="165" fontId="44" fillId="0" borderId="107" xfId="12" applyNumberFormat="1" applyFont="1" applyBorder="1" applyAlignment="1">
      <alignment horizontal="center" vertical="center"/>
    </xf>
    <xf numFmtId="0" fontId="44" fillId="0" borderId="8" xfId="0" applyFont="1" applyBorder="1" applyAlignment="1">
      <alignment horizontal="right" vertical="center"/>
    </xf>
    <xf numFmtId="0" fontId="44" fillId="0" borderId="17" xfId="0" applyFont="1" applyBorder="1" applyAlignment="1">
      <alignment horizontal="right" vertical="center"/>
    </xf>
    <xf numFmtId="0" fontId="46" fillId="0" borderId="18" xfId="0" applyFont="1" applyBorder="1" applyAlignment="1">
      <alignment horizontal="right" vertical="center"/>
    </xf>
    <xf numFmtId="1" fontId="46" fillId="0" borderId="73" xfId="0" applyNumberFormat="1" applyFont="1" applyBorder="1" applyAlignment="1">
      <alignment horizontal="center" vertical="center" wrapText="1"/>
    </xf>
    <xf numFmtId="1" fontId="46" fillId="0" borderId="84" xfId="0" applyNumberFormat="1" applyFont="1" applyBorder="1" applyAlignment="1">
      <alignment horizontal="center" vertical="center" wrapText="1"/>
    </xf>
    <xf numFmtId="1" fontId="46" fillId="0" borderId="85" xfId="0" applyNumberFormat="1" applyFont="1" applyBorder="1" applyAlignment="1">
      <alignment horizontal="center" vertical="center" wrapText="1"/>
    </xf>
    <xf numFmtId="0" fontId="46" fillId="13" borderId="36" xfId="0" applyFont="1" applyFill="1" applyBorder="1" applyAlignment="1">
      <alignment horizontal="center" vertical="center"/>
    </xf>
    <xf numFmtId="0" fontId="46" fillId="13" borderId="37" xfId="0" applyFont="1" applyFill="1" applyBorder="1" applyAlignment="1">
      <alignment horizontal="center" vertical="center"/>
    </xf>
    <xf numFmtId="0" fontId="46" fillId="13" borderId="40" xfId="0" applyFont="1" applyFill="1" applyBorder="1" applyAlignment="1">
      <alignment horizontal="center" vertical="center"/>
    </xf>
    <xf numFmtId="165" fontId="44" fillId="0" borderId="108" xfId="12" applyNumberFormat="1" applyFont="1" applyBorder="1" applyAlignment="1">
      <alignment horizontal="center" vertical="center"/>
    </xf>
    <xf numFmtId="165" fontId="44" fillId="0" borderId="109" xfId="12" applyNumberFormat="1" applyFont="1" applyBorder="1" applyAlignment="1">
      <alignment horizontal="center" vertical="center"/>
    </xf>
    <xf numFmtId="0" fontId="46" fillId="13" borderId="56" xfId="0" applyFont="1" applyFill="1" applyBorder="1" applyAlignment="1">
      <alignment horizontal="center" vertical="center"/>
    </xf>
    <xf numFmtId="0" fontId="46" fillId="13" borderId="71" xfId="0" applyFont="1" applyFill="1" applyBorder="1" applyAlignment="1">
      <alignment horizontal="center" vertical="center"/>
    </xf>
    <xf numFmtId="0" fontId="46" fillId="13" borderId="95" xfId="0" applyFont="1" applyFill="1" applyBorder="1" applyAlignment="1">
      <alignment horizontal="center" vertical="center"/>
    </xf>
    <xf numFmtId="0" fontId="46" fillId="13" borderId="56" xfId="0" applyFont="1" applyFill="1" applyBorder="1" applyAlignment="1">
      <alignment horizontal="center" vertical="center" wrapText="1"/>
    </xf>
    <xf numFmtId="0" fontId="46" fillId="13" borderId="71" xfId="0" applyFont="1" applyFill="1" applyBorder="1" applyAlignment="1">
      <alignment horizontal="center" vertical="center" wrapText="1"/>
    </xf>
    <xf numFmtId="0" fontId="46" fillId="13" borderId="95" xfId="0" applyFont="1" applyFill="1" applyBorder="1" applyAlignment="1">
      <alignment horizontal="center" vertical="center" wrapText="1"/>
    </xf>
    <xf numFmtId="0" fontId="46" fillId="10" borderId="43" xfId="6" applyFont="1" applyFill="1" applyBorder="1" applyAlignment="1">
      <alignment horizontal="center" vertical="center"/>
    </xf>
    <xf numFmtId="0" fontId="46" fillId="10" borderId="44" xfId="6" applyFont="1" applyFill="1" applyBorder="1" applyAlignment="1">
      <alignment horizontal="center" vertical="center"/>
    </xf>
    <xf numFmtId="0" fontId="46" fillId="10" borderId="35" xfId="6" applyFont="1" applyFill="1" applyBorder="1" applyAlignment="1">
      <alignment horizontal="center" vertical="center"/>
    </xf>
    <xf numFmtId="0" fontId="46" fillId="10" borderId="0" xfId="6" applyFont="1" applyFill="1" applyAlignment="1">
      <alignment horizontal="center" vertical="center"/>
    </xf>
    <xf numFmtId="0" fontId="46" fillId="10" borderId="29" xfId="6" applyFont="1" applyFill="1" applyBorder="1" applyAlignment="1">
      <alignment horizontal="center" vertical="center"/>
    </xf>
    <xf numFmtId="0" fontId="44" fillId="10" borderId="35" xfId="6" applyFont="1" applyFill="1" applyBorder="1" applyAlignment="1">
      <alignment horizontal="center" vertical="center"/>
    </xf>
    <xf numFmtId="0" fontId="44" fillId="10" borderId="0" xfId="6" applyFont="1" applyFill="1" applyAlignment="1">
      <alignment horizontal="center" vertical="center"/>
    </xf>
    <xf numFmtId="0" fontId="44" fillId="10" borderId="29" xfId="6" applyFont="1" applyFill="1" applyBorder="1" applyAlignment="1">
      <alignment horizontal="center" vertical="center"/>
    </xf>
    <xf numFmtId="0" fontId="46" fillId="10" borderId="51" xfId="6" applyFont="1" applyFill="1" applyBorder="1" applyAlignment="1">
      <alignment horizontal="center" vertical="center"/>
    </xf>
    <xf numFmtId="0" fontId="46" fillId="10" borderId="52" xfId="6" applyFont="1" applyFill="1" applyBorder="1" applyAlignment="1">
      <alignment horizontal="center" vertical="center"/>
    </xf>
  </cellXfs>
  <cellStyles count="57">
    <cellStyle name="Moeda" xfId="1" builtinId="4"/>
    <cellStyle name="Normal" xfId="0" builtinId="0"/>
    <cellStyle name="Normal 10" xfId="2" xr:uid="{00000000-0005-0000-0000-000002000000}"/>
    <cellStyle name="Normal 10 2" xfId="39" xr:uid="{78397A14-8CC2-4FD2-848C-0503D347763E}"/>
    <cellStyle name="Normal 10 2 2" xfId="55" xr:uid="{A8795EBD-6AAC-4125-B4F5-B5C85A50AA01}"/>
    <cellStyle name="Normal 12" xfId="3" xr:uid="{00000000-0005-0000-0000-000003000000}"/>
    <cellStyle name="Normal 12 2" xfId="43" xr:uid="{F510AAAD-0A09-40E3-B0B3-AB961C5162A9}"/>
    <cellStyle name="Normal 16" xfId="53" xr:uid="{8E9588B4-D38A-4B0F-909B-3643D1079461}"/>
    <cellStyle name="Normal 2" xfId="4" xr:uid="{00000000-0005-0000-0000-000004000000}"/>
    <cellStyle name="Normal 2 2" xfId="5" xr:uid="{00000000-0005-0000-0000-000005000000}"/>
    <cellStyle name="Normal 2 2 2" xfId="6" xr:uid="{00000000-0005-0000-0000-000006000000}"/>
    <cellStyle name="Normal 2 2 2 2" xfId="38" xr:uid="{616DFC3B-E994-44F3-BC1B-B32AA625431E}"/>
    <cellStyle name="Normal 2 2 3" xfId="37" xr:uid="{ADA4672F-CE57-4319-86DF-54689E36C905}"/>
    <cellStyle name="Normal 2 3" xfId="7" xr:uid="{00000000-0005-0000-0000-000007000000}"/>
    <cellStyle name="Normal 2 3 2" xfId="48" xr:uid="{B09B2D0F-03C5-4E29-A95E-E9CF31E844F7}"/>
    <cellStyle name="Normal 2 4" xfId="51" xr:uid="{79978A4A-F653-426D-85AA-14D10BC87B9D}"/>
    <cellStyle name="Normal 3" xfId="8" xr:uid="{00000000-0005-0000-0000-000008000000}"/>
    <cellStyle name="Normal 3 2" xfId="35" xr:uid="{95069925-FB97-415D-8616-314991758860}"/>
    <cellStyle name="Normal 4" xfId="9" xr:uid="{00000000-0005-0000-0000-000009000000}"/>
    <cellStyle name="Normal 4 3" xfId="54" xr:uid="{A145F7D9-C1A4-4C12-B98C-C9BE6EC1216C}"/>
    <cellStyle name="Normal 4 4" xfId="47" xr:uid="{0FD9D4CA-C36D-497B-8DB2-8ED9F7BA65DE}"/>
    <cellStyle name="Normal 5" xfId="10" xr:uid="{00000000-0005-0000-0000-00000A000000}"/>
    <cellStyle name="Normal 5 2" xfId="11" xr:uid="{00000000-0005-0000-0000-00000B000000}"/>
    <cellStyle name="Normal 5 2 2" xfId="42" xr:uid="{FCDDEBE9-136C-4C82-A796-3B6EBFF88C2E}"/>
    <cellStyle name="Normal 6" xfId="12" xr:uid="{00000000-0005-0000-0000-00000C000000}"/>
    <cellStyle name="Normal 7" xfId="13" xr:uid="{00000000-0005-0000-0000-00000D000000}"/>
    <cellStyle name="Normal 7 2" xfId="45" xr:uid="{4B1B854A-49A2-4ACF-A151-3567EC66ABA8}"/>
    <cellStyle name="Normal 8" xfId="33" xr:uid="{923EA196-817D-4FFD-865D-30F48EC9B057}"/>
    <cellStyle name="Normal_Caixa planilha atual(em vigor)" xfId="41" xr:uid="{DBDA24F6-1E88-46CC-B86E-48616E191EF7}"/>
    <cellStyle name="Normal_F-06-09" xfId="14" xr:uid="{00000000-0005-0000-0000-00000E000000}"/>
    <cellStyle name="Normal_Plan1" xfId="15" xr:uid="{00000000-0005-0000-0000-00000F000000}"/>
    <cellStyle name="Normal_Plan1 3 2" xfId="34" xr:uid="{4053CC8E-3F77-4285-B11E-AFDDEC10AEFF}"/>
    <cellStyle name="Porcentagem" xfId="16" builtinId="5"/>
    <cellStyle name="Porcentagem 2" xfId="17" xr:uid="{00000000-0005-0000-0000-000011000000}"/>
    <cellStyle name="Porcentagem 3 2 2" xfId="49" xr:uid="{DB7743B0-5A1A-44D3-BA02-36B193504245}"/>
    <cellStyle name="Porcentagem 3 5" xfId="52" xr:uid="{F375538F-41C4-4D97-BC6A-D5DEC23010A0}"/>
    <cellStyle name="Porcentagem 4" xfId="18" xr:uid="{00000000-0005-0000-0000-000012000000}"/>
    <cellStyle name="Separador de milhares 2 2" xfId="19" xr:uid="{00000000-0005-0000-0000-000013000000}"/>
    <cellStyle name="Separador de milhares 2 2 5" xfId="20" xr:uid="{00000000-0005-0000-0000-000014000000}"/>
    <cellStyle name="Separador de milhares 2 2 5 2" xfId="21" xr:uid="{00000000-0005-0000-0000-000015000000}"/>
    <cellStyle name="Separador de milhares 2 2 5 2 2" xfId="40" xr:uid="{456641A1-C31B-4CFF-8749-84FC950DD977}"/>
    <cellStyle name="Separador de milhares 2 2 6" xfId="22" xr:uid="{00000000-0005-0000-0000-000016000000}"/>
    <cellStyle name="Separador de milhares 3" xfId="23" xr:uid="{00000000-0005-0000-0000-000017000000}"/>
    <cellStyle name="Separador de milhares 4" xfId="24" xr:uid="{00000000-0005-0000-0000-000018000000}"/>
    <cellStyle name="Separador de milhares_ORÇA ETA SAO BRAS RV JNETO 3 (SAMPAIO) FINAL 2" xfId="46" xr:uid="{6E1F3377-26AF-4BAA-AFA7-ECBF87609AFA}"/>
    <cellStyle name="Separador de milhares_Projeto Completo Água - Água  Boa(alterado)" xfId="25" xr:uid="{00000000-0005-0000-0000-000019000000}"/>
    <cellStyle name="Vírgula" xfId="26" builtinId="3"/>
    <cellStyle name="Vírgula 12" xfId="27" xr:uid="{00000000-0005-0000-0000-00001B000000}"/>
    <cellStyle name="Vírgula 2" xfId="28" xr:uid="{00000000-0005-0000-0000-00001C000000}"/>
    <cellStyle name="Vírgula 2 2" xfId="36" xr:uid="{341C712F-6406-4BDC-BB41-CE421AAB8A4D}"/>
    <cellStyle name="Vírgula 2 2 2" xfId="32" xr:uid="{00000000-0005-0000-0000-00001D000000}"/>
    <cellStyle name="Vírgula 2 2 2 2 2 2" xfId="56" xr:uid="{6AE5F34C-C6D2-46AD-AFF3-A14C1F799CA1}"/>
    <cellStyle name="Vírgula 3" xfId="31" xr:uid="{00000000-0005-0000-0000-00001E000000}"/>
    <cellStyle name="Vírgula 5" xfId="29" xr:uid="{00000000-0005-0000-0000-00001F000000}"/>
    <cellStyle name="Vírgula 5 2" xfId="44" xr:uid="{055730A9-A85E-4D21-9A01-8AE938A882ED}"/>
    <cellStyle name="Vírgula 5 6" xfId="30" xr:uid="{00000000-0005-0000-0000-000020000000}"/>
    <cellStyle name="Vírgula 9" xfId="50" xr:uid="{EC10994A-E540-446C-9D40-12C6ADDD2387}"/>
  </cellStyles>
  <dxfs count="5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theme="0" tint="-0.14996795556505021"/>
        </patternFill>
      </fill>
    </dxf>
    <dxf>
      <fill>
        <patternFill>
          <bgColor rgb="FFFFFFFF"/>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theme="0" tint="-0.14996795556505021"/>
        </patternFill>
      </fill>
    </dxf>
    <dxf>
      <fill>
        <patternFill>
          <bgColor indexed="47"/>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indexed="47"/>
        </patternFill>
      </fill>
    </dxf>
    <dxf>
      <fill>
        <patternFill>
          <bgColor theme="0" tint="-0.14996795556505021"/>
        </patternFill>
      </fill>
    </dxf>
    <dxf>
      <fill>
        <patternFill>
          <bgColor theme="0" tint="-0.14996795556505021"/>
        </patternFill>
      </fill>
    </dxf>
    <dxf>
      <fill>
        <patternFill>
          <bgColor indexed="47"/>
        </patternFill>
      </fill>
    </dxf>
    <dxf>
      <fill>
        <patternFill>
          <bgColor indexed="47"/>
        </patternFill>
      </fill>
    </dxf>
    <dxf>
      <fill>
        <patternFill>
          <bgColor theme="0" tint="-0.14996795556505021"/>
        </patternFill>
      </fill>
    </dxf>
    <dxf>
      <fill>
        <patternFill>
          <bgColor rgb="FFFFFFFF"/>
        </patternFill>
      </fill>
    </dxf>
    <dxf>
      <fill>
        <patternFill>
          <bgColor indexed="47"/>
        </patternFill>
      </fill>
    </dxf>
    <dxf>
      <fill>
        <patternFill>
          <bgColor theme="0" tint="-0.14996795556505021"/>
        </patternFill>
      </fill>
    </dxf>
    <dxf>
      <fill>
        <patternFill>
          <bgColor rgb="FFFFFFFF"/>
        </patternFill>
      </fill>
    </dxf>
    <dxf>
      <fill>
        <patternFill>
          <bgColor indexed="47"/>
        </patternFill>
      </fill>
    </dxf>
    <dxf>
      <fill>
        <patternFill>
          <bgColor theme="0" tint="-0.14996795556505021"/>
        </patternFill>
      </fill>
    </dxf>
    <dxf>
      <fill>
        <patternFill>
          <bgColor rgb="FFFFFFFF"/>
        </patternFill>
      </fill>
    </dxf>
    <dxf>
      <fill>
        <patternFill>
          <bgColor indexed="47"/>
        </patternFill>
      </fill>
    </dxf>
    <dxf>
      <fill>
        <patternFill>
          <bgColor theme="0" tint="-0.14996795556505021"/>
        </patternFill>
      </fill>
    </dxf>
    <dxf>
      <fill>
        <patternFill>
          <bgColor rgb="FFFFFFFF"/>
        </patternFill>
      </fill>
    </dxf>
    <dxf>
      <fill>
        <patternFill>
          <bgColor theme="0" tint="-0.14996795556505021"/>
        </patternFill>
      </fill>
    </dxf>
    <dxf>
      <fill>
        <patternFill>
          <bgColor rgb="FFFFFFFF"/>
        </patternFill>
      </fill>
    </dxf>
    <dxf>
      <fill>
        <patternFill>
          <bgColor theme="0" tint="-0.14996795556505021"/>
        </patternFill>
      </fill>
    </dxf>
    <dxf>
      <fill>
        <patternFill>
          <bgColor rgb="FFFFFFFF"/>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24.xml.rels><?xml version="1.0" encoding="UTF-8" standalone="yes"?>
<Relationships xmlns="http://schemas.openxmlformats.org/package/2006/relationships"><Relationship Id="rId1" Type="http://schemas.openxmlformats.org/officeDocument/2006/relationships/image" Target="../media/image8.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5.png"/></Relationships>
</file>

<file path=xl/drawings/_rels/drawing32.xml.rels><?xml version="1.0" encoding="UTF-8" standalone="yes"?>
<Relationships xmlns="http://schemas.openxmlformats.org/package/2006/relationships"><Relationship Id="rId1" Type="http://schemas.openxmlformats.org/officeDocument/2006/relationships/image" Target="../media/image8.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8.emf"/></Relationships>
</file>

<file path=xl/drawings/_rels/drawing36.xml.rels><?xml version="1.0" encoding="UTF-8" standalone="yes"?>
<Relationships xmlns="http://schemas.openxmlformats.org/package/2006/relationships"><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396875</xdr:colOff>
      <xdr:row>3</xdr:row>
      <xdr:rowOff>269875</xdr:rowOff>
    </xdr:from>
    <xdr:to>
      <xdr:col>3</xdr:col>
      <xdr:colOff>358775</xdr:colOff>
      <xdr:row>6</xdr:row>
      <xdr:rowOff>273050</xdr:rowOff>
    </xdr:to>
    <xdr:pic>
      <xdr:nvPicPr>
        <xdr:cNvPr id="3" name="Imagem 1">
          <a:extLst>
            <a:ext uri="{FF2B5EF4-FFF2-40B4-BE49-F238E27FC236}">
              <a16:creationId xmlns:a16="http://schemas.microsoft.com/office/drawing/2014/main" id="{72C7616B-18B3-4C13-BE2A-E762E5DA47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1000125" y="269875"/>
          <a:ext cx="1073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5111750</xdr:colOff>
      <xdr:row>0</xdr:row>
      <xdr:rowOff>88900</xdr:rowOff>
    </xdr:from>
    <xdr:to>
      <xdr:col>5</xdr:col>
      <xdr:colOff>6334125</xdr:colOff>
      <xdr:row>3</xdr:row>
      <xdr:rowOff>188420</xdr:rowOff>
    </xdr:to>
    <xdr:pic>
      <xdr:nvPicPr>
        <xdr:cNvPr id="3" name="Imagem 3">
          <a:extLst>
            <a:ext uri="{FF2B5EF4-FFF2-40B4-BE49-F238E27FC236}">
              <a16:creationId xmlns:a16="http://schemas.microsoft.com/office/drawing/2014/main" id="{DD9F2850-95BE-4E1D-8E35-CFE040EFC2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3750" y="88900"/>
          <a:ext cx="1222375" cy="105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4051300</xdr:colOff>
      <xdr:row>0</xdr:row>
      <xdr:rowOff>120650</xdr:rowOff>
    </xdr:from>
    <xdr:to>
      <xdr:col>3</xdr:col>
      <xdr:colOff>1123950</xdr:colOff>
      <xdr:row>0</xdr:row>
      <xdr:rowOff>762000</xdr:rowOff>
    </xdr:to>
    <xdr:pic>
      <xdr:nvPicPr>
        <xdr:cNvPr id="56048" name="Imagem 2" descr="Descrição: logo100">
          <a:extLst>
            <a:ext uri="{FF2B5EF4-FFF2-40B4-BE49-F238E27FC236}">
              <a16:creationId xmlns:a16="http://schemas.microsoft.com/office/drawing/2014/main" id="{59360D13-815A-F85C-F391-5D31EDDD0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120650"/>
          <a:ext cx="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546100</xdr:colOff>
      <xdr:row>0</xdr:row>
      <xdr:rowOff>25400</xdr:rowOff>
    </xdr:from>
    <xdr:to>
      <xdr:col>8</xdr:col>
      <xdr:colOff>958850</xdr:colOff>
      <xdr:row>3</xdr:row>
      <xdr:rowOff>165100</xdr:rowOff>
    </xdr:to>
    <xdr:pic>
      <xdr:nvPicPr>
        <xdr:cNvPr id="56049" name="Imagem 3">
          <a:extLst>
            <a:ext uri="{FF2B5EF4-FFF2-40B4-BE49-F238E27FC236}">
              <a16:creationId xmlns:a16="http://schemas.microsoft.com/office/drawing/2014/main" id="{6D7110A9-1806-0E95-345C-8DD66B92EA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35850" y="25400"/>
          <a:ext cx="16891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pic>
      <xdr:nvPicPr>
        <xdr:cNvPr id="2" name="Picture 1">
          <a:extLst>
            <a:ext uri="{FF2B5EF4-FFF2-40B4-BE49-F238E27FC236}">
              <a16:creationId xmlns:a16="http://schemas.microsoft.com/office/drawing/2014/main" id="{FAFED20C-4503-436C-90BD-903EB52A5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9250" y="190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xdr:row>
      <xdr:rowOff>0</xdr:rowOff>
    </xdr:from>
    <xdr:to>
      <xdr:col>7</xdr:col>
      <xdr:colOff>0</xdr:colOff>
      <xdr:row>1</xdr:row>
      <xdr:rowOff>0</xdr:rowOff>
    </xdr:to>
    <xdr:pic>
      <xdr:nvPicPr>
        <xdr:cNvPr id="3" name="Picture 3">
          <a:extLst>
            <a:ext uri="{FF2B5EF4-FFF2-40B4-BE49-F238E27FC236}">
              <a16:creationId xmlns:a16="http://schemas.microsoft.com/office/drawing/2014/main" id="{5499C0CE-95B7-4CB5-8256-3450CDFB0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9250" y="190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392205</xdr:colOff>
      <xdr:row>1</xdr:row>
      <xdr:rowOff>154081</xdr:rowOff>
    </xdr:from>
    <xdr:to>
      <xdr:col>7</xdr:col>
      <xdr:colOff>933795</xdr:colOff>
      <xdr:row>4</xdr:row>
      <xdr:rowOff>80122</xdr:rowOff>
    </xdr:to>
    <xdr:pic>
      <xdr:nvPicPr>
        <xdr:cNvPr id="5" name="Imagem 1">
          <a:extLst>
            <a:ext uri="{FF2B5EF4-FFF2-40B4-BE49-F238E27FC236}">
              <a16:creationId xmlns:a16="http://schemas.microsoft.com/office/drawing/2014/main" id="{03753FD7-16EE-4339-AD5A-9336EC25CF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4" t="6985" r="50690" b="19038"/>
        <a:stretch>
          <a:fillRect/>
        </a:stretch>
      </xdr:blipFill>
      <xdr:spPr bwMode="auto">
        <a:xfrm>
          <a:off x="11640109" y="350184"/>
          <a:ext cx="5415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221052</xdr:colOff>
      <xdr:row>0</xdr:row>
      <xdr:rowOff>73684</xdr:rowOff>
    </xdr:from>
    <xdr:to>
      <xdr:col>0</xdr:col>
      <xdr:colOff>1104181</xdr:colOff>
      <xdr:row>2</xdr:row>
      <xdr:rowOff>254659</xdr:rowOff>
    </xdr:to>
    <xdr:pic>
      <xdr:nvPicPr>
        <xdr:cNvPr id="2" name="Imagem 2" descr="Brazão UEL.jpg">
          <a:extLst>
            <a:ext uri="{FF2B5EF4-FFF2-40B4-BE49-F238E27FC236}">
              <a16:creationId xmlns:a16="http://schemas.microsoft.com/office/drawing/2014/main" id="{901CED6E-3C2B-4293-BAFB-7DF8D30A2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052" y="73684"/>
          <a:ext cx="883129"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312759</xdr:colOff>
      <xdr:row>271</xdr:row>
      <xdr:rowOff>68796</xdr:rowOff>
    </xdr:from>
    <xdr:to>
      <xdr:col>21</xdr:col>
      <xdr:colOff>1097021</xdr:colOff>
      <xdr:row>302</xdr:row>
      <xdr:rowOff>94905</xdr:rowOff>
    </xdr:to>
    <xdr:pic>
      <xdr:nvPicPr>
        <xdr:cNvPr id="3" name="Imagem 2">
          <a:extLst>
            <a:ext uri="{FF2B5EF4-FFF2-40B4-BE49-F238E27FC236}">
              <a16:creationId xmlns:a16="http://schemas.microsoft.com/office/drawing/2014/main" id="{757095CF-45DA-4E2A-8BFF-F9C45698D299}"/>
            </a:ext>
          </a:extLst>
        </xdr:cNvPr>
        <xdr:cNvPicPr>
          <a:picLocks noChangeAspect="1"/>
        </xdr:cNvPicPr>
      </xdr:nvPicPr>
      <xdr:blipFill>
        <a:blip xmlns:r="http://schemas.openxmlformats.org/officeDocument/2006/relationships" r:embed="rId2"/>
        <a:stretch>
          <a:fillRect/>
        </a:stretch>
      </xdr:blipFill>
      <xdr:spPr>
        <a:xfrm>
          <a:off x="11576072" y="34954109"/>
          <a:ext cx="11023637" cy="103607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60384</xdr:colOff>
      <xdr:row>0</xdr:row>
      <xdr:rowOff>120770</xdr:rowOff>
    </xdr:from>
    <xdr:to>
      <xdr:col>1</xdr:col>
      <xdr:colOff>94889</xdr:colOff>
      <xdr:row>3</xdr:row>
      <xdr:rowOff>94891</xdr:rowOff>
    </xdr:to>
    <xdr:pic>
      <xdr:nvPicPr>
        <xdr:cNvPr id="2" name="Imagem 1" descr="Logotipo&#10;&#10;Descrição gerada automaticamente">
          <a:extLst>
            <a:ext uri="{FF2B5EF4-FFF2-40B4-BE49-F238E27FC236}">
              <a16:creationId xmlns:a16="http://schemas.microsoft.com/office/drawing/2014/main" id="{F8301535-14E0-4823-836C-77C4984C509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384" y="120770"/>
          <a:ext cx="904455" cy="50752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0</xdr:col>
      <xdr:colOff>732091</xdr:colOff>
      <xdr:row>3</xdr:row>
      <xdr:rowOff>114301</xdr:rowOff>
    </xdr:to>
    <xdr:pic>
      <xdr:nvPicPr>
        <xdr:cNvPr id="3" name="Imagem 1">
          <a:extLst>
            <a:ext uri="{FF2B5EF4-FFF2-40B4-BE49-F238E27FC236}">
              <a16:creationId xmlns:a16="http://schemas.microsoft.com/office/drawing/2014/main" id="{561D2075-B697-4D3D-B75B-46D1539A1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190501" y="171451"/>
          <a:ext cx="5415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219075</xdr:colOff>
      <xdr:row>1</xdr:row>
      <xdr:rowOff>95250</xdr:rowOff>
    </xdr:from>
    <xdr:to>
      <xdr:col>1</xdr:col>
      <xdr:colOff>85725</xdr:colOff>
      <xdr:row>4</xdr:row>
      <xdr:rowOff>184103</xdr:rowOff>
    </xdr:to>
    <xdr:pic>
      <xdr:nvPicPr>
        <xdr:cNvPr id="3" name="Imagem 1">
          <a:extLst>
            <a:ext uri="{FF2B5EF4-FFF2-40B4-BE49-F238E27FC236}">
              <a16:creationId xmlns:a16="http://schemas.microsoft.com/office/drawing/2014/main" id="{8AF46239-94A1-4986-9502-870A18E4CC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219075" y="29527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0</xdr:col>
      <xdr:colOff>646365</xdr:colOff>
      <xdr:row>3</xdr:row>
      <xdr:rowOff>180975</xdr:rowOff>
    </xdr:to>
    <xdr:pic>
      <xdr:nvPicPr>
        <xdr:cNvPr id="3" name="Imagem 1">
          <a:extLst>
            <a:ext uri="{FF2B5EF4-FFF2-40B4-BE49-F238E27FC236}">
              <a16:creationId xmlns:a16="http://schemas.microsoft.com/office/drawing/2014/main" id="{EE8BBCAA-770C-4F32-859B-0F3B1E0BA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104775" y="247650"/>
          <a:ext cx="5415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371475</xdr:colOff>
      <xdr:row>0</xdr:row>
      <xdr:rowOff>142875</xdr:rowOff>
    </xdr:from>
    <xdr:to>
      <xdr:col>1</xdr:col>
      <xdr:colOff>238125</xdr:colOff>
      <xdr:row>4</xdr:row>
      <xdr:rowOff>41228</xdr:rowOff>
    </xdr:to>
    <xdr:pic>
      <xdr:nvPicPr>
        <xdr:cNvPr id="3" name="Imagem 1">
          <a:extLst>
            <a:ext uri="{FF2B5EF4-FFF2-40B4-BE49-F238E27FC236}">
              <a16:creationId xmlns:a16="http://schemas.microsoft.com/office/drawing/2014/main" id="{3AA6E496-56F2-4787-8824-328EA0B7D0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71475" y="14287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361950</xdr:colOff>
      <xdr:row>0</xdr:row>
      <xdr:rowOff>152400</xdr:rowOff>
    </xdr:from>
    <xdr:to>
      <xdr:col>1</xdr:col>
      <xdr:colOff>228600</xdr:colOff>
      <xdr:row>4</xdr:row>
      <xdr:rowOff>41228</xdr:rowOff>
    </xdr:to>
    <xdr:pic>
      <xdr:nvPicPr>
        <xdr:cNvPr id="3" name="Imagem 1">
          <a:extLst>
            <a:ext uri="{FF2B5EF4-FFF2-40B4-BE49-F238E27FC236}">
              <a16:creationId xmlns:a16="http://schemas.microsoft.com/office/drawing/2014/main" id="{F34B5F54-E246-4A03-8DAB-7AE0C71D4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61950" y="152400"/>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xdr:colOff>
      <xdr:row>1</xdr:row>
      <xdr:rowOff>-1</xdr:rowOff>
    </xdr:from>
    <xdr:to>
      <xdr:col>1</xdr:col>
      <xdr:colOff>1516081</xdr:colOff>
      <xdr:row>4</xdr:row>
      <xdr:rowOff>333375</xdr:rowOff>
    </xdr:to>
    <xdr:pic>
      <xdr:nvPicPr>
        <xdr:cNvPr id="3" name="Imagem 1">
          <a:extLst>
            <a:ext uri="{FF2B5EF4-FFF2-40B4-BE49-F238E27FC236}">
              <a16:creationId xmlns:a16="http://schemas.microsoft.com/office/drawing/2014/main" id="{3E777DB9-6B37-4941-B7A2-D2468E96DB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785812" y="309562"/>
          <a:ext cx="1492269" cy="140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190500</xdr:colOff>
      <xdr:row>0</xdr:row>
      <xdr:rowOff>161925</xdr:rowOff>
    </xdr:from>
    <xdr:to>
      <xdr:col>1</xdr:col>
      <xdr:colOff>123825</xdr:colOff>
      <xdr:row>4</xdr:row>
      <xdr:rowOff>60278</xdr:rowOff>
    </xdr:to>
    <xdr:pic>
      <xdr:nvPicPr>
        <xdr:cNvPr id="3" name="Imagem 1">
          <a:extLst>
            <a:ext uri="{FF2B5EF4-FFF2-40B4-BE49-F238E27FC236}">
              <a16:creationId xmlns:a16="http://schemas.microsoft.com/office/drawing/2014/main" id="{4E49D613-1089-4517-9F11-CF3F9B495E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190500" y="16192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342900</xdr:colOff>
      <xdr:row>0</xdr:row>
      <xdr:rowOff>123825</xdr:rowOff>
    </xdr:from>
    <xdr:to>
      <xdr:col>1</xdr:col>
      <xdr:colOff>209550</xdr:colOff>
      <xdr:row>4</xdr:row>
      <xdr:rowOff>22178</xdr:rowOff>
    </xdr:to>
    <xdr:pic>
      <xdr:nvPicPr>
        <xdr:cNvPr id="3" name="Imagem 1">
          <a:extLst>
            <a:ext uri="{FF2B5EF4-FFF2-40B4-BE49-F238E27FC236}">
              <a16:creationId xmlns:a16="http://schemas.microsoft.com/office/drawing/2014/main" id="{962953BF-A984-4738-ABEB-3BF5D30844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42900" y="12382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276225</xdr:colOff>
      <xdr:row>0</xdr:row>
      <xdr:rowOff>180975</xdr:rowOff>
    </xdr:from>
    <xdr:to>
      <xdr:col>1</xdr:col>
      <xdr:colOff>134511</xdr:colOff>
      <xdr:row>4</xdr:row>
      <xdr:rowOff>70363</xdr:rowOff>
    </xdr:to>
    <xdr:pic>
      <xdr:nvPicPr>
        <xdr:cNvPr id="3" name="Imagem 1">
          <a:extLst>
            <a:ext uri="{FF2B5EF4-FFF2-40B4-BE49-F238E27FC236}">
              <a16:creationId xmlns:a16="http://schemas.microsoft.com/office/drawing/2014/main" id="{ADD3560E-23ED-476D-946F-280D043CD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276225" y="180975"/>
          <a:ext cx="686961" cy="651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2679701</xdr:colOff>
      <xdr:row>0</xdr:row>
      <xdr:rowOff>1</xdr:rowOff>
    </xdr:from>
    <xdr:to>
      <xdr:col>2</xdr:col>
      <xdr:colOff>254000</xdr:colOff>
      <xdr:row>1</xdr:row>
      <xdr:rowOff>10315</xdr:rowOff>
    </xdr:to>
    <xdr:pic>
      <xdr:nvPicPr>
        <xdr:cNvPr id="2" name="Imagem 1">
          <a:extLst>
            <a:ext uri="{FF2B5EF4-FFF2-40B4-BE49-F238E27FC236}">
              <a16:creationId xmlns:a16="http://schemas.microsoft.com/office/drawing/2014/main" id="{DCCDA348-5553-48C0-872A-A925BEC73B89}"/>
            </a:ext>
          </a:extLst>
        </xdr:cNvPr>
        <xdr:cNvPicPr>
          <a:picLocks noChangeAspect="1"/>
        </xdr:cNvPicPr>
      </xdr:nvPicPr>
      <xdr:blipFill>
        <a:blip xmlns:r="http://schemas.openxmlformats.org/officeDocument/2006/relationships" r:embed="rId1"/>
        <a:stretch>
          <a:fillRect/>
        </a:stretch>
      </xdr:blipFill>
      <xdr:spPr>
        <a:xfrm>
          <a:off x="3200401" y="1"/>
          <a:ext cx="882649" cy="62626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1905000</xdr:colOff>
      <xdr:row>0</xdr:row>
      <xdr:rowOff>133350</xdr:rowOff>
    </xdr:from>
    <xdr:to>
      <xdr:col>3</xdr:col>
      <xdr:colOff>419100</xdr:colOff>
      <xdr:row>1</xdr:row>
      <xdr:rowOff>565150</xdr:rowOff>
    </xdr:to>
    <xdr:pic>
      <xdr:nvPicPr>
        <xdr:cNvPr id="72767" name="Imagem 3">
          <a:extLst>
            <a:ext uri="{FF2B5EF4-FFF2-40B4-BE49-F238E27FC236}">
              <a16:creationId xmlns:a16="http://schemas.microsoft.com/office/drawing/2014/main" id="{1E88384C-F5FD-19D5-7958-06DECC5D88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3600" y="133350"/>
          <a:ext cx="13589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2143130</xdr:colOff>
      <xdr:row>0</xdr:row>
      <xdr:rowOff>104776</xdr:rowOff>
    </xdr:from>
    <xdr:to>
      <xdr:col>3</xdr:col>
      <xdr:colOff>115466</xdr:colOff>
      <xdr:row>1</xdr:row>
      <xdr:rowOff>565664</xdr:rowOff>
    </xdr:to>
    <xdr:pic>
      <xdr:nvPicPr>
        <xdr:cNvPr id="3" name="Imagem 1">
          <a:extLst>
            <a:ext uri="{FF2B5EF4-FFF2-40B4-BE49-F238E27FC236}">
              <a16:creationId xmlns:a16="http://schemas.microsoft.com/office/drawing/2014/main" id="{0038E046-8406-4C8F-8050-1935B9AFEF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571880" y="104776"/>
          <a:ext cx="686961" cy="651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2114550</xdr:colOff>
      <xdr:row>0</xdr:row>
      <xdr:rowOff>85725</xdr:rowOff>
    </xdr:from>
    <xdr:to>
      <xdr:col>3</xdr:col>
      <xdr:colOff>95250</xdr:colOff>
      <xdr:row>1</xdr:row>
      <xdr:rowOff>555578</xdr:rowOff>
    </xdr:to>
    <xdr:pic>
      <xdr:nvPicPr>
        <xdr:cNvPr id="3" name="Imagem 1">
          <a:extLst>
            <a:ext uri="{FF2B5EF4-FFF2-40B4-BE49-F238E27FC236}">
              <a16:creationId xmlns:a16="http://schemas.microsoft.com/office/drawing/2014/main" id="{86E9F868-D484-43CD-AEBC-C42347BB7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543300" y="8572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2133600</xdr:colOff>
      <xdr:row>0</xdr:row>
      <xdr:rowOff>133350</xdr:rowOff>
    </xdr:from>
    <xdr:to>
      <xdr:col>3</xdr:col>
      <xdr:colOff>114300</xdr:colOff>
      <xdr:row>2</xdr:row>
      <xdr:rowOff>22178</xdr:rowOff>
    </xdr:to>
    <xdr:pic>
      <xdr:nvPicPr>
        <xdr:cNvPr id="3" name="Imagem 1">
          <a:extLst>
            <a:ext uri="{FF2B5EF4-FFF2-40B4-BE49-F238E27FC236}">
              <a16:creationId xmlns:a16="http://schemas.microsoft.com/office/drawing/2014/main" id="{12DD865E-FDB0-482B-ABBD-F32AD752D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562350" y="133350"/>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2200275</xdr:colOff>
      <xdr:row>0</xdr:row>
      <xdr:rowOff>104775</xdr:rowOff>
    </xdr:from>
    <xdr:to>
      <xdr:col>3</xdr:col>
      <xdr:colOff>180975</xdr:colOff>
      <xdr:row>1</xdr:row>
      <xdr:rowOff>574628</xdr:rowOff>
    </xdr:to>
    <xdr:pic>
      <xdr:nvPicPr>
        <xdr:cNvPr id="3" name="Imagem 1">
          <a:extLst>
            <a:ext uri="{FF2B5EF4-FFF2-40B4-BE49-F238E27FC236}">
              <a16:creationId xmlns:a16="http://schemas.microsoft.com/office/drawing/2014/main" id="{E2079C4D-53E6-481A-B383-2151FC288E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629025" y="10477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2228850</xdr:colOff>
      <xdr:row>0</xdr:row>
      <xdr:rowOff>95250</xdr:rowOff>
    </xdr:from>
    <xdr:to>
      <xdr:col>3</xdr:col>
      <xdr:colOff>209550</xdr:colOff>
      <xdr:row>1</xdr:row>
      <xdr:rowOff>565103</xdr:rowOff>
    </xdr:to>
    <xdr:pic>
      <xdr:nvPicPr>
        <xdr:cNvPr id="3" name="Imagem 1">
          <a:extLst>
            <a:ext uri="{FF2B5EF4-FFF2-40B4-BE49-F238E27FC236}">
              <a16:creationId xmlns:a16="http://schemas.microsoft.com/office/drawing/2014/main" id="{DB537825-2168-452B-AEC0-A60B1BAF37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657600" y="95250"/>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1333500</xdr:colOff>
      <xdr:row>1</xdr:row>
      <xdr:rowOff>381000</xdr:rowOff>
    </xdr:from>
    <xdr:to>
      <xdr:col>1</xdr:col>
      <xdr:colOff>3962400</xdr:colOff>
      <xdr:row>6</xdr:row>
      <xdr:rowOff>379551</xdr:rowOff>
    </xdr:to>
    <xdr:pic>
      <xdr:nvPicPr>
        <xdr:cNvPr id="3" name="Imagem 1">
          <a:extLst>
            <a:ext uri="{FF2B5EF4-FFF2-40B4-BE49-F238E27FC236}">
              <a16:creationId xmlns:a16="http://schemas.microsoft.com/office/drawing/2014/main" id="{AAA1412D-502E-42DC-99FE-10BB45398B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2057400" y="876300"/>
          <a:ext cx="2628900" cy="2475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2181225</xdr:colOff>
      <xdr:row>0</xdr:row>
      <xdr:rowOff>123825</xdr:rowOff>
    </xdr:from>
    <xdr:to>
      <xdr:col>3</xdr:col>
      <xdr:colOff>161925</xdr:colOff>
      <xdr:row>2</xdr:row>
      <xdr:rowOff>12653</xdr:rowOff>
    </xdr:to>
    <xdr:pic>
      <xdr:nvPicPr>
        <xdr:cNvPr id="3" name="Imagem 1">
          <a:extLst>
            <a:ext uri="{FF2B5EF4-FFF2-40B4-BE49-F238E27FC236}">
              <a16:creationId xmlns:a16="http://schemas.microsoft.com/office/drawing/2014/main" id="{C4543A1F-E6C0-4ED6-994E-FF90AD4793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609975" y="123825"/>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2330823</xdr:colOff>
      <xdr:row>0</xdr:row>
      <xdr:rowOff>100853</xdr:rowOff>
    </xdr:from>
    <xdr:to>
      <xdr:col>3</xdr:col>
      <xdr:colOff>314325</xdr:colOff>
      <xdr:row>1</xdr:row>
      <xdr:rowOff>570706</xdr:rowOff>
    </xdr:to>
    <xdr:pic>
      <xdr:nvPicPr>
        <xdr:cNvPr id="3" name="Imagem 1">
          <a:extLst>
            <a:ext uri="{FF2B5EF4-FFF2-40B4-BE49-F238E27FC236}">
              <a16:creationId xmlns:a16="http://schemas.microsoft.com/office/drawing/2014/main" id="{66421FF5-2C77-4C4F-AD97-BA8AC8B6B7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3765176" y="100853"/>
          <a:ext cx="695325" cy="660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2</xdr:col>
      <xdr:colOff>2127250</xdr:colOff>
      <xdr:row>0</xdr:row>
      <xdr:rowOff>76200</xdr:rowOff>
    </xdr:from>
    <xdr:to>
      <xdr:col>3</xdr:col>
      <xdr:colOff>609600</xdr:colOff>
      <xdr:row>1</xdr:row>
      <xdr:rowOff>615950</xdr:rowOff>
    </xdr:to>
    <xdr:pic>
      <xdr:nvPicPr>
        <xdr:cNvPr id="62738" name="Imagem 1">
          <a:extLst>
            <a:ext uri="{FF2B5EF4-FFF2-40B4-BE49-F238E27FC236}">
              <a16:creationId xmlns:a16="http://schemas.microsoft.com/office/drawing/2014/main" id="{FCEF0483-2DF3-F9CD-3F4B-AB49DBE9FA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4100" y="76200"/>
          <a:ext cx="1676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4635500</xdr:colOff>
      <xdr:row>0</xdr:row>
      <xdr:rowOff>222250</xdr:rowOff>
    </xdr:from>
    <xdr:to>
      <xdr:col>2</xdr:col>
      <xdr:colOff>329468</xdr:colOff>
      <xdr:row>1</xdr:row>
      <xdr:rowOff>793750</xdr:rowOff>
    </xdr:to>
    <xdr:pic>
      <xdr:nvPicPr>
        <xdr:cNvPr id="3" name="Imagem 1">
          <a:extLst>
            <a:ext uri="{FF2B5EF4-FFF2-40B4-BE49-F238E27FC236}">
              <a16:creationId xmlns:a16="http://schemas.microsoft.com/office/drawing/2014/main" id="{585885D3-0709-40AD-B5AC-CE6727E1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5524500" y="222250"/>
          <a:ext cx="869218"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527050</xdr:colOff>
      <xdr:row>45</xdr:row>
      <xdr:rowOff>193674</xdr:rowOff>
    </xdr:from>
    <xdr:ext cx="4399706" cy="647701"/>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2BFB16F-0641-D40F-0035-C2513C24EE9E}"/>
                </a:ext>
              </a:extLst>
            </xdr:cNvPr>
            <xdr:cNvSpPr txBox="1"/>
          </xdr:nvSpPr>
          <xdr:spPr>
            <a:xfrm>
              <a:off x="508000" y="16163924"/>
              <a:ext cx="4381500" cy="647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pt-BR" sz="1800" i="1">
                            <a:latin typeface="Cambria Math" panose="02040503050406030204" pitchFamily="18" charset="0"/>
                          </a:rPr>
                        </m:ctrlPr>
                      </m:fPr>
                      <m:num>
                        <m:d>
                          <m:dPr>
                            <m:ctrlPr>
                              <a:rPr lang="pt-BR" sz="1800" b="0" i="1">
                                <a:latin typeface="Cambria Math" panose="02040503050406030204" pitchFamily="18" charset="0"/>
                              </a:rPr>
                            </m:ctrlPr>
                          </m:dPr>
                          <m:e>
                            <m:r>
                              <a:rPr lang="pt-BR" sz="1800" b="0" i="1">
                                <a:latin typeface="Cambria Math" panose="02040503050406030204" pitchFamily="18" charset="0"/>
                              </a:rPr>
                              <m:t>1 </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𝐴𝐶</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𝑆</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𝑅</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𝐺</m:t>
                            </m:r>
                          </m:e>
                        </m:d>
                        <m:r>
                          <a:rPr lang="pt-BR" sz="1800" b="0" i="1">
                            <a:latin typeface="Cambria Math" panose="02040503050406030204" pitchFamily="18" charset="0"/>
                            <a:ea typeface="Cambria Math" panose="02040503050406030204" pitchFamily="18" charset="0"/>
                          </a:rPr>
                          <m:t>×</m:t>
                        </m:r>
                        <m:d>
                          <m:dPr>
                            <m:ctrlPr>
                              <a:rPr lang="pt-BR" sz="1800" b="0" i="1">
                                <a:latin typeface="Cambria Math" panose="02040503050406030204" pitchFamily="18" charset="0"/>
                                <a:ea typeface="Cambria Math" panose="02040503050406030204" pitchFamily="18" charset="0"/>
                              </a:rPr>
                            </m:ctrlPr>
                          </m:dPr>
                          <m:e>
                            <m:r>
                              <a:rPr lang="pt-BR" sz="1800" b="0" i="1">
                                <a:latin typeface="Cambria Math" panose="02040503050406030204" pitchFamily="18" charset="0"/>
                                <a:ea typeface="Cambria Math" panose="02040503050406030204" pitchFamily="18" charset="0"/>
                              </a:rPr>
                              <m:t>1 +</m:t>
                            </m:r>
                            <m:r>
                              <a:rPr lang="pt-BR" sz="1800" b="0" i="1">
                                <a:latin typeface="Cambria Math" panose="02040503050406030204" pitchFamily="18" charset="0"/>
                                <a:ea typeface="Cambria Math" panose="02040503050406030204" pitchFamily="18" charset="0"/>
                              </a:rPr>
                              <m:t>𝐷𝐹</m:t>
                            </m:r>
                          </m:e>
                        </m:d>
                        <m:r>
                          <a:rPr lang="pt-BR" sz="1800" b="0" i="1">
                            <a:latin typeface="Cambria Math" panose="02040503050406030204" pitchFamily="18" charset="0"/>
                            <a:ea typeface="Cambria Math" panose="02040503050406030204" pitchFamily="18" charset="0"/>
                          </a:rPr>
                          <m:t>×(1+</m:t>
                        </m:r>
                        <m:r>
                          <a:rPr lang="pt-BR" sz="1800" b="0" i="1">
                            <a:latin typeface="Cambria Math" panose="02040503050406030204" pitchFamily="18" charset="0"/>
                            <a:ea typeface="Cambria Math" panose="02040503050406030204" pitchFamily="18" charset="0"/>
                          </a:rPr>
                          <m:t>𝐿</m:t>
                        </m:r>
                        <m:r>
                          <a:rPr lang="pt-BR" sz="1800" b="0" i="1">
                            <a:latin typeface="Cambria Math" panose="02040503050406030204" pitchFamily="18" charset="0"/>
                            <a:ea typeface="Cambria Math" panose="02040503050406030204" pitchFamily="18" charset="0"/>
                          </a:rPr>
                          <m:t>)</m:t>
                        </m:r>
                      </m:num>
                      <m:den>
                        <m:r>
                          <a:rPr lang="pt-BR" sz="1800" b="0" i="1">
                            <a:latin typeface="Cambria Math" panose="02040503050406030204" pitchFamily="18" charset="0"/>
                          </a:rPr>
                          <m:t>1 </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𝐼</m:t>
                        </m:r>
                      </m:den>
                    </m:f>
                    <m:r>
                      <a:rPr lang="pt-BR" sz="1800" b="0" i="1">
                        <a:latin typeface="Cambria Math" panose="02040503050406030204" pitchFamily="18" charset="0"/>
                      </a:rPr>
                      <m:t> </m:t>
                    </m:r>
                    <m:r>
                      <a:rPr lang="pt-BR" sz="1800" b="0" i="1">
                        <a:latin typeface="Cambria Math" panose="02040503050406030204" pitchFamily="18" charset="0"/>
                        <a:ea typeface="Cambria Math" panose="02040503050406030204" pitchFamily="18" charset="0"/>
                      </a:rPr>
                      <m:t>−1</m:t>
                    </m:r>
                  </m:oMath>
                </m:oMathPara>
              </a14:m>
              <a:endParaRPr lang="pt-BR" sz="1800"/>
            </a:p>
          </xdr:txBody>
        </xdr:sp>
      </mc:Choice>
      <mc:Fallback xmlns="">
        <xdr:sp macro="" textlink="">
          <xdr:nvSpPr>
            <xdr:cNvPr id="5" name="CaixaDeTexto 4">
              <a:extLst>
                <a:ext uri="{FF2B5EF4-FFF2-40B4-BE49-F238E27FC236}">
                  <a16:creationId xmlns:a16="http://schemas.microsoft.com/office/drawing/2014/main" id="{A2BFB16F-0641-D40F-0035-C2513C24EE9E}"/>
                </a:ext>
              </a:extLst>
            </xdr:cNvPr>
            <xdr:cNvSpPr txBox="1"/>
          </xdr:nvSpPr>
          <xdr:spPr>
            <a:xfrm>
              <a:off x="508000" y="16163924"/>
              <a:ext cx="4381500" cy="647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pt-BR" sz="1800" i="0">
                  <a:latin typeface="Cambria Math" panose="02040503050406030204" pitchFamily="18" charset="0"/>
                </a:rPr>
                <a:t>(</a:t>
              </a:r>
              <a:r>
                <a:rPr lang="pt-BR" sz="1800" b="0" i="0">
                  <a:latin typeface="Cambria Math" panose="02040503050406030204" pitchFamily="18" charset="0"/>
                </a:rPr>
                <a:t>(1 </a:t>
              </a:r>
              <a:r>
                <a:rPr lang="pt-BR" sz="1800" b="0" i="0">
                  <a:latin typeface="Cambria Math" panose="02040503050406030204" pitchFamily="18" charset="0"/>
                  <a:ea typeface="Cambria Math" panose="02040503050406030204" pitchFamily="18" charset="0"/>
                </a:rPr>
                <a:t>+𝐴𝐶 +𝑆 +𝑅 +𝐺)×(1 +𝐷𝐹)×(1+𝐿))/(</a:t>
              </a:r>
              <a:r>
                <a:rPr lang="pt-BR" sz="1800" b="0" i="0">
                  <a:latin typeface="Cambria Math" panose="02040503050406030204" pitchFamily="18" charset="0"/>
                </a:rPr>
                <a:t>1 </a:t>
              </a:r>
              <a:r>
                <a:rPr lang="pt-BR" sz="1800" b="0" i="0">
                  <a:latin typeface="Cambria Math" panose="02040503050406030204" pitchFamily="18" charset="0"/>
                  <a:ea typeface="Cambria Math" panose="02040503050406030204" pitchFamily="18" charset="0"/>
                </a:rPr>
                <a:t>−𝐼) </a:t>
              </a:r>
              <a:r>
                <a:rPr lang="pt-BR" sz="1800" b="0" i="0">
                  <a:latin typeface="Cambria Math" panose="02040503050406030204" pitchFamily="18" charset="0"/>
                </a:rPr>
                <a:t> </a:t>
              </a:r>
              <a:r>
                <a:rPr lang="pt-BR" sz="1800" b="0" i="0">
                  <a:latin typeface="Cambria Math" panose="02040503050406030204" pitchFamily="18" charset="0"/>
                  <a:ea typeface="Cambria Math" panose="02040503050406030204" pitchFamily="18" charset="0"/>
                </a:rPr>
                <a:t>−1</a:t>
              </a:r>
              <a:endParaRPr lang="pt-BR" sz="1800"/>
            </a:p>
          </xdr:txBody>
        </xdr:sp>
      </mc:Fallback>
    </mc:AlternateContent>
    <xdr:clientData/>
  </xdr:oneCellAnchor>
  <xdr:oneCellAnchor>
    <xdr:from>
      <xdr:col>5</xdr:col>
      <xdr:colOff>1019175</xdr:colOff>
      <xdr:row>44</xdr:row>
      <xdr:rowOff>127001</xdr:rowOff>
    </xdr:from>
    <xdr:ext cx="1583576" cy="69850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F4EDF360-B30F-6E26-BDF8-238533A464B3}"/>
                </a:ext>
              </a:extLst>
            </xdr:cNvPr>
            <xdr:cNvSpPr txBox="1"/>
          </xdr:nvSpPr>
          <xdr:spPr>
            <a:xfrm>
              <a:off x="7880350" y="15779751"/>
              <a:ext cx="1571395" cy="69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pt-BR" sz="1800" i="1">
                            <a:latin typeface="Cambria Math" panose="02040503050406030204" pitchFamily="18" charset="0"/>
                          </a:rPr>
                        </m:ctrlPr>
                      </m:fPr>
                      <m:num>
                        <m:r>
                          <a:rPr lang="pt-BR" sz="1800" b="0" i="1">
                            <a:latin typeface="Cambria Math" panose="02040503050406030204" pitchFamily="18" charset="0"/>
                          </a:rPr>
                          <m:t>𝐴</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𝐵</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𝐶</m:t>
                        </m:r>
                      </m:num>
                      <m:den>
                        <m:r>
                          <a:rPr lang="pt-BR" sz="1800" b="0" i="1">
                            <a:latin typeface="Cambria Math" panose="02040503050406030204" pitchFamily="18" charset="0"/>
                          </a:rPr>
                          <m:t>𝐷</m:t>
                        </m:r>
                        <m:r>
                          <a:rPr lang="pt-BR" sz="1800" b="0" i="1">
                            <a:latin typeface="Cambria Math" panose="02040503050406030204" pitchFamily="18" charset="0"/>
                            <a:ea typeface="Cambria Math" panose="02040503050406030204" pitchFamily="18" charset="0"/>
                          </a:rPr>
                          <m:t>−1</m:t>
                        </m:r>
                      </m:den>
                    </m:f>
                  </m:oMath>
                </m:oMathPara>
              </a14:m>
              <a:endParaRPr lang="pt-BR" sz="1800"/>
            </a:p>
          </xdr:txBody>
        </xdr:sp>
      </mc:Choice>
      <mc:Fallback xmlns="">
        <xdr:sp macro="" textlink="">
          <xdr:nvSpPr>
            <xdr:cNvPr id="7" name="CaixaDeTexto 6">
              <a:extLst>
                <a:ext uri="{FF2B5EF4-FFF2-40B4-BE49-F238E27FC236}">
                  <a16:creationId xmlns:a16="http://schemas.microsoft.com/office/drawing/2014/main" id="{F4EDF360-B30F-6E26-BDF8-238533A464B3}"/>
                </a:ext>
              </a:extLst>
            </xdr:cNvPr>
            <xdr:cNvSpPr txBox="1"/>
          </xdr:nvSpPr>
          <xdr:spPr>
            <a:xfrm>
              <a:off x="7880350" y="15779751"/>
              <a:ext cx="1571395" cy="69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pt-BR" sz="1800" i="0">
                  <a:latin typeface="Cambria Math" panose="02040503050406030204" pitchFamily="18" charset="0"/>
                </a:rPr>
                <a:t>(</a:t>
              </a:r>
              <a:r>
                <a:rPr lang="pt-BR" sz="1800" b="0" i="0">
                  <a:latin typeface="Cambria Math" panose="02040503050406030204" pitchFamily="18" charset="0"/>
                </a:rPr>
                <a:t>𝐴</a:t>
              </a:r>
              <a:r>
                <a:rPr lang="pt-BR" sz="1800" b="0" i="0">
                  <a:latin typeface="Cambria Math" panose="02040503050406030204" pitchFamily="18" charset="0"/>
                  <a:ea typeface="Cambria Math" panose="02040503050406030204" pitchFamily="18" charset="0"/>
                </a:rPr>
                <a:t>×𝐵×𝐶)/(</a:t>
              </a:r>
              <a:r>
                <a:rPr lang="pt-BR" sz="1800" b="0" i="0">
                  <a:latin typeface="Cambria Math" panose="02040503050406030204" pitchFamily="18" charset="0"/>
                </a:rPr>
                <a:t>𝐷</a:t>
              </a:r>
              <a:r>
                <a:rPr lang="pt-BR" sz="1800" b="0" i="0">
                  <a:latin typeface="Cambria Math" panose="02040503050406030204" pitchFamily="18" charset="0"/>
                  <a:ea typeface="Cambria Math" panose="02040503050406030204" pitchFamily="18" charset="0"/>
                </a:rPr>
                <a:t>−1)</a:t>
              </a:r>
              <a:endParaRPr lang="pt-BR" sz="1800"/>
            </a:p>
          </xdr:txBody>
        </xdr:sp>
      </mc:Fallback>
    </mc:AlternateContent>
    <xdr:clientData/>
  </xdr:oneCellAnchor>
  <xdr:twoCellAnchor editAs="oneCell">
    <xdr:from>
      <xdr:col>10</xdr:col>
      <xdr:colOff>0</xdr:colOff>
      <xdr:row>11</xdr:row>
      <xdr:rowOff>1</xdr:rowOff>
    </xdr:from>
    <xdr:to>
      <xdr:col>22</xdr:col>
      <xdr:colOff>409340</xdr:colOff>
      <xdr:row>21</xdr:row>
      <xdr:rowOff>16607</xdr:rowOff>
    </xdr:to>
    <xdr:pic>
      <xdr:nvPicPr>
        <xdr:cNvPr id="2" name="Imagem 1">
          <a:extLst>
            <a:ext uri="{FF2B5EF4-FFF2-40B4-BE49-F238E27FC236}">
              <a16:creationId xmlns:a16="http://schemas.microsoft.com/office/drawing/2014/main" id="{A1D893F8-E957-7C78-7413-7E060ED2C6D1}"/>
            </a:ext>
          </a:extLst>
        </xdr:cNvPr>
        <xdr:cNvPicPr>
          <a:picLocks noChangeAspect="1"/>
        </xdr:cNvPicPr>
      </xdr:nvPicPr>
      <xdr:blipFill>
        <a:blip xmlns:r="http://schemas.openxmlformats.org/officeDocument/2006/relationships" r:embed="rId1"/>
        <a:stretch>
          <a:fillRect/>
        </a:stretch>
      </xdr:blipFill>
      <xdr:spPr>
        <a:xfrm>
          <a:off x="13409083" y="4402668"/>
          <a:ext cx="8780757" cy="3826606"/>
        </a:xfrm>
        <a:prstGeom prst="rect">
          <a:avLst/>
        </a:prstGeom>
      </xdr:spPr>
    </xdr:pic>
    <xdr:clientData/>
  </xdr:twoCellAnchor>
  <xdr:twoCellAnchor editAs="oneCell">
    <xdr:from>
      <xdr:col>9</xdr:col>
      <xdr:colOff>1153583</xdr:colOff>
      <xdr:row>21</xdr:row>
      <xdr:rowOff>127000</xdr:rowOff>
    </xdr:from>
    <xdr:to>
      <xdr:col>22</xdr:col>
      <xdr:colOff>546747</xdr:colOff>
      <xdr:row>40</xdr:row>
      <xdr:rowOff>246440</xdr:rowOff>
    </xdr:to>
    <xdr:pic>
      <xdr:nvPicPr>
        <xdr:cNvPr id="3" name="Imagem 2">
          <a:extLst>
            <a:ext uri="{FF2B5EF4-FFF2-40B4-BE49-F238E27FC236}">
              <a16:creationId xmlns:a16="http://schemas.microsoft.com/office/drawing/2014/main" id="{723BF9ED-43D6-F0C5-E2BB-42F67890E1ED}"/>
            </a:ext>
          </a:extLst>
        </xdr:cNvPr>
        <xdr:cNvPicPr>
          <a:picLocks noChangeAspect="1"/>
        </xdr:cNvPicPr>
      </xdr:nvPicPr>
      <xdr:blipFill>
        <a:blip xmlns:r="http://schemas.openxmlformats.org/officeDocument/2006/relationships" r:embed="rId2"/>
        <a:stretch>
          <a:fillRect/>
        </a:stretch>
      </xdr:blipFill>
      <xdr:spPr>
        <a:xfrm>
          <a:off x="13398500" y="8339667"/>
          <a:ext cx="8928747" cy="6342440"/>
        </a:xfrm>
        <a:prstGeom prst="rect">
          <a:avLst/>
        </a:prstGeom>
      </xdr:spPr>
    </xdr:pic>
    <xdr:clientData/>
  </xdr:twoCellAnchor>
  <xdr:twoCellAnchor editAs="oneCell">
    <xdr:from>
      <xdr:col>10</xdr:col>
      <xdr:colOff>0</xdr:colOff>
      <xdr:row>40</xdr:row>
      <xdr:rowOff>222250</xdr:rowOff>
    </xdr:from>
    <xdr:to>
      <xdr:col>22</xdr:col>
      <xdr:colOff>508000</xdr:colOff>
      <xdr:row>53</xdr:row>
      <xdr:rowOff>16631</xdr:rowOff>
    </xdr:to>
    <xdr:pic>
      <xdr:nvPicPr>
        <xdr:cNvPr id="4" name="Imagem 3">
          <a:extLst>
            <a:ext uri="{FF2B5EF4-FFF2-40B4-BE49-F238E27FC236}">
              <a16:creationId xmlns:a16="http://schemas.microsoft.com/office/drawing/2014/main" id="{E9FB1011-2A7B-CF6F-8CD3-5E78E888DCE4}"/>
            </a:ext>
          </a:extLst>
        </xdr:cNvPr>
        <xdr:cNvPicPr>
          <a:picLocks noChangeAspect="1"/>
        </xdr:cNvPicPr>
      </xdr:nvPicPr>
      <xdr:blipFill>
        <a:blip xmlns:r="http://schemas.openxmlformats.org/officeDocument/2006/relationships" r:embed="rId3"/>
        <a:stretch>
          <a:fillRect/>
        </a:stretch>
      </xdr:blipFill>
      <xdr:spPr>
        <a:xfrm>
          <a:off x="13409083" y="14657917"/>
          <a:ext cx="8879417" cy="3805464"/>
        </a:xfrm>
        <a:prstGeom prst="rect">
          <a:avLst/>
        </a:prstGeom>
      </xdr:spPr>
    </xdr:pic>
    <xdr:clientData/>
  </xdr:twoCellAnchor>
  <xdr:twoCellAnchor editAs="oneCell">
    <xdr:from>
      <xdr:col>3</xdr:col>
      <xdr:colOff>857250</xdr:colOff>
      <xdr:row>0</xdr:row>
      <xdr:rowOff>142875</xdr:rowOff>
    </xdr:from>
    <xdr:to>
      <xdr:col>4</xdr:col>
      <xdr:colOff>412206</xdr:colOff>
      <xdr:row>1</xdr:row>
      <xdr:rowOff>857250</xdr:rowOff>
    </xdr:to>
    <xdr:pic>
      <xdr:nvPicPr>
        <xdr:cNvPr id="8" name="Imagem 1">
          <a:extLst>
            <a:ext uri="{FF2B5EF4-FFF2-40B4-BE49-F238E27FC236}">
              <a16:creationId xmlns:a16="http://schemas.microsoft.com/office/drawing/2014/main" id="{66EB9739-BF77-4D01-9034-88C071C542B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94" t="6985" r="50690" b="19038"/>
        <a:stretch>
          <a:fillRect/>
        </a:stretch>
      </xdr:blipFill>
      <xdr:spPr bwMode="auto">
        <a:xfrm>
          <a:off x="5000625" y="142875"/>
          <a:ext cx="936081"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1879600</xdr:colOff>
      <xdr:row>0</xdr:row>
      <xdr:rowOff>76200</xdr:rowOff>
    </xdr:from>
    <xdr:to>
      <xdr:col>3</xdr:col>
      <xdr:colOff>209550</xdr:colOff>
      <xdr:row>1</xdr:row>
      <xdr:rowOff>527050</xdr:rowOff>
    </xdr:to>
    <xdr:pic>
      <xdr:nvPicPr>
        <xdr:cNvPr id="37536" name="Imagem 3">
          <a:extLst>
            <a:ext uri="{FF2B5EF4-FFF2-40B4-BE49-F238E27FC236}">
              <a16:creationId xmlns:a16="http://schemas.microsoft.com/office/drawing/2014/main" id="{174E11FA-B20A-D914-28A3-872021FDF7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8650" y="76200"/>
          <a:ext cx="13144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368300</xdr:colOff>
      <xdr:row>0</xdr:row>
      <xdr:rowOff>82550</xdr:rowOff>
    </xdr:from>
    <xdr:to>
      <xdr:col>2</xdr:col>
      <xdr:colOff>704850</xdr:colOff>
      <xdr:row>4</xdr:row>
      <xdr:rowOff>0</xdr:rowOff>
    </xdr:to>
    <xdr:pic>
      <xdr:nvPicPr>
        <xdr:cNvPr id="52651" name="Imagem 3">
          <a:extLst>
            <a:ext uri="{FF2B5EF4-FFF2-40B4-BE49-F238E27FC236}">
              <a16:creationId xmlns:a16="http://schemas.microsoft.com/office/drawing/2014/main" id="{5629D734-B7EA-56D0-86F0-CB57303763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0" y="82550"/>
          <a:ext cx="16256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648603</xdr:colOff>
      <xdr:row>0</xdr:row>
      <xdr:rowOff>40821</xdr:rowOff>
    </xdr:from>
    <xdr:to>
      <xdr:col>0</xdr:col>
      <xdr:colOff>1360710</xdr:colOff>
      <xdr:row>0</xdr:row>
      <xdr:rowOff>707571</xdr:rowOff>
    </xdr:to>
    <xdr:pic>
      <xdr:nvPicPr>
        <xdr:cNvPr id="2" name="Imagem 1" descr="Brazão UEL.jpg">
          <a:extLst>
            <a:ext uri="{FF2B5EF4-FFF2-40B4-BE49-F238E27FC236}">
              <a16:creationId xmlns:a16="http://schemas.microsoft.com/office/drawing/2014/main" id="{07B73D42-22ED-4539-BF99-864D577D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03" y="40821"/>
          <a:ext cx="712107"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27400</xdr:colOff>
      <xdr:row>9</xdr:row>
      <xdr:rowOff>146712</xdr:rowOff>
    </xdr:from>
    <xdr:ext cx="1382301" cy="140872"/>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27788A3-7DC0-4F3E-B755-9B2CB320DBD1}"/>
                </a:ext>
              </a:extLst>
            </xdr:cNvPr>
            <xdr:cNvSpPr txBox="1"/>
          </xdr:nvSpPr>
          <xdr:spPr>
            <a:xfrm>
              <a:off x="13806900" y="3664612"/>
              <a:ext cx="138230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𝐻</m:t>
                    </m:r>
                    <m:r>
                      <a:rPr lang="pt-BR" sz="900" b="0" i="1">
                        <a:latin typeface="Cambria Math" panose="02040503050406030204" pitchFamily="18" charset="0"/>
                      </a:rPr>
                      <m:t>=</m:t>
                    </m:r>
                    <m:d>
                      <m:dPr>
                        <m:ctrlPr>
                          <a:rPr lang="pt-BR" sz="900" b="0" i="1">
                            <a:latin typeface="Cambria Math" panose="02040503050406030204" pitchFamily="18" charset="0"/>
                          </a:rPr>
                        </m:ctrlPr>
                      </m:dPr>
                      <m:e>
                        <m:r>
                          <a:rPr lang="pt-BR" sz="900" b="0" i="1">
                            <a:latin typeface="Cambria Math" panose="02040503050406030204" pitchFamily="18" charset="0"/>
                          </a:rPr>
                          <m:t>𝐹</m:t>
                        </m:r>
                        <m:r>
                          <a:rPr lang="pt-BR" sz="900" b="0" i="1">
                            <a:latin typeface="Cambria Math" panose="02040503050406030204" pitchFamily="18" charset="0"/>
                          </a:rPr>
                          <m:t>+</m:t>
                        </m:r>
                        <m:r>
                          <a:rPr lang="pt-BR" sz="900" b="0" i="1">
                            <a:latin typeface="Cambria Math" panose="02040503050406030204" pitchFamily="18" charset="0"/>
                          </a:rPr>
                          <m:t>𝐺</m:t>
                        </m:r>
                      </m:e>
                    </m:d>
                    <m:r>
                      <a:rPr lang="pt-BR" sz="900" b="0" i="1">
                        <a:latin typeface="Cambria Math" panose="02040503050406030204" pitchFamily="18" charset="0"/>
                        <a:ea typeface="Cambria Math" panose="02040503050406030204" pitchFamily="18" charset="0"/>
                      </a:rPr>
                      <m:t>×1,30×</m:t>
                    </m:r>
                    <m:r>
                      <a:rPr lang="pt-BR" sz="900" b="0" i="1">
                        <a:latin typeface="Cambria Math" panose="02040503050406030204" pitchFamily="18" charset="0"/>
                        <a:ea typeface="Cambria Math" panose="02040503050406030204" pitchFamily="18" charset="0"/>
                      </a:rPr>
                      <m:t>𝐷𝑀𝑇</m:t>
                    </m:r>
                  </m:oMath>
                </m:oMathPara>
              </a14:m>
              <a:endParaRPr lang="pt-BR" sz="900"/>
            </a:p>
          </xdr:txBody>
        </xdr:sp>
      </mc:Choice>
      <mc:Fallback xmlns="">
        <xdr:sp macro="" textlink="">
          <xdr:nvSpPr>
            <xdr:cNvPr id="3" name="CaixaDeTexto 2">
              <a:extLst>
                <a:ext uri="{FF2B5EF4-FFF2-40B4-BE49-F238E27FC236}">
                  <a16:creationId xmlns:a16="http://schemas.microsoft.com/office/drawing/2014/main" id="{227788A3-7DC0-4F3E-B755-9B2CB320DBD1}"/>
                </a:ext>
              </a:extLst>
            </xdr:cNvPr>
            <xdr:cNvSpPr txBox="1"/>
          </xdr:nvSpPr>
          <xdr:spPr>
            <a:xfrm>
              <a:off x="13806900" y="3664612"/>
              <a:ext cx="138230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𝐻=(𝐹+𝐺)</a:t>
              </a:r>
              <a:r>
                <a:rPr lang="pt-BR" sz="900" b="0" i="0">
                  <a:latin typeface="Cambria Math" panose="02040503050406030204" pitchFamily="18" charset="0"/>
                  <a:ea typeface="Cambria Math" panose="02040503050406030204" pitchFamily="18" charset="0"/>
                </a:rPr>
                <a:t>×1,30×𝐷𝑀𝑇</a:t>
              </a:r>
              <a:endParaRPr lang="pt-BR" sz="900"/>
            </a:p>
          </xdr:txBody>
        </xdr:sp>
      </mc:Fallback>
    </mc:AlternateContent>
    <xdr:clientData/>
  </xdr:oneCellAnchor>
  <xdr:oneCellAnchor>
    <xdr:from>
      <xdr:col>16</xdr:col>
      <xdr:colOff>19380</xdr:colOff>
      <xdr:row>9</xdr:row>
      <xdr:rowOff>146881</xdr:rowOff>
    </xdr:from>
    <xdr:ext cx="1425390" cy="140872"/>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D4B72BE1-7930-4A28-A622-B3512746D0A6}"/>
                </a:ext>
              </a:extLst>
            </xdr:cNvPr>
            <xdr:cNvSpPr txBox="1"/>
          </xdr:nvSpPr>
          <xdr:spPr>
            <a:xfrm>
              <a:off x="15221280" y="3664781"/>
              <a:ext cx="142539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𝐼</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rPr>
                        </m:ctrlPr>
                      </m:dPr>
                      <m:e>
                        <m:sSub>
                          <m:sSubPr>
                            <m:ctrlPr>
                              <a:rPr lang="pt-BR" sz="900" b="0" i="1">
                                <a:latin typeface="Cambria Math" panose="02040503050406030204" pitchFamily="18" charset="0"/>
                              </a:rPr>
                            </m:ctrlPr>
                          </m:sSubPr>
                          <m:e>
                            <m:r>
                              <a:rPr lang="pt-BR" sz="900" b="0" i="1">
                                <a:latin typeface="Cambria Math" panose="02040503050406030204" pitchFamily="18" charset="0"/>
                              </a:rPr>
                              <m:t>𝐶</m:t>
                            </m:r>
                          </m:e>
                          <m:sub>
                            <m:r>
                              <a:rPr lang="pt-BR" sz="900" b="0" i="1">
                                <a:latin typeface="Cambria Math" panose="02040503050406030204" pitchFamily="18" charset="0"/>
                              </a:rPr>
                              <m:t>1</m:t>
                            </m:r>
                          </m:sub>
                        </m:sSub>
                        <m:r>
                          <a:rPr lang="pt-BR" sz="900" b="0" i="1">
                            <a:latin typeface="Cambria Math" panose="02040503050406030204" pitchFamily="18" charset="0"/>
                          </a:rPr>
                          <m:t>+</m:t>
                        </m:r>
                        <m:sSub>
                          <m:sSubPr>
                            <m:ctrlPr>
                              <a:rPr lang="pt-BR" sz="900" b="0" i="1">
                                <a:latin typeface="Cambria Math" panose="02040503050406030204" pitchFamily="18" charset="0"/>
                              </a:rPr>
                            </m:ctrlPr>
                          </m:sSubPr>
                          <m:e>
                            <m:r>
                              <a:rPr lang="pt-BR" sz="900" b="0" i="1">
                                <a:latin typeface="Cambria Math" panose="02040503050406030204" pitchFamily="18" charset="0"/>
                              </a:rPr>
                              <m:t>𝐶</m:t>
                            </m:r>
                          </m:e>
                          <m:sub>
                            <m:r>
                              <a:rPr lang="pt-BR" sz="900" b="0" i="1">
                                <a:latin typeface="Cambria Math" panose="02040503050406030204" pitchFamily="18" charset="0"/>
                              </a:rPr>
                              <m:t>4</m:t>
                            </m:r>
                          </m:sub>
                        </m:sSub>
                        <m:r>
                          <a:rPr lang="pt-BR" sz="900" b="0" i="1">
                            <a:latin typeface="Cambria Math" panose="02040503050406030204" pitchFamily="18" charset="0"/>
                          </a:rPr>
                          <m:t>−</m:t>
                        </m:r>
                        <m:sSub>
                          <m:sSubPr>
                            <m:ctrlPr>
                              <a:rPr lang="pt-BR" sz="900" b="0" i="1">
                                <a:latin typeface="Cambria Math" panose="02040503050406030204" pitchFamily="18" charset="0"/>
                              </a:rPr>
                            </m:ctrlPr>
                          </m:sSubPr>
                          <m:e>
                            <m:r>
                              <a:rPr lang="pt-BR" sz="900" b="0" i="1">
                                <a:latin typeface="Cambria Math" panose="02040503050406030204" pitchFamily="18" charset="0"/>
                              </a:rPr>
                              <m:t>𝐶</m:t>
                            </m:r>
                          </m:e>
                          <m:sub>
                            <m:r>
                              <a:rPr lang="pt-BR" sz="900" b="0" i="1">
                                <a:latin typeface="Cambria Math" panose="02040503050406030204" pitchFamily="18" charset="0"/>
                              </a:rPr>
                              <m:t>2</m:t>
                            </m:r>
                          </m:sub>
                        </m:sSub>
                      </m:e>
                    </m:d>
                    <m:r>
                      <a:rPr lang="pt-BR" sz="900" b="0" i="1">
                        <a:latin typeface="Cambria Math" panose="02040503050406030204" pitchFamily="18" charset="0"/>
                        <a:ea typeface="Cambria Math" panose="02040503050406030204" pitchFamily="18" charset="0"/>
                      </a:rPr>
                      <m:t>×0,5</m:t>
                    </m:r>
                  </m:oMath>
                </m:oMathPara>
              </a14:m>
              <a:endParaRPr lang="pt-BR" sz="900"/>
            </a:p>
          </xdr:txBody>
        </xdr:sp>
      </mc:Choice>
      <mc:Fallback xmlns="">
        <xdr:sp macro="" textlink="">
          <xdr:nvSpPr>
            <xdr:cNvPr id="4" name="CaixaDeTexto 3">
              <a:extLst>
                <a:ext uri="{FF2B5EF4-FFF2-40B4-BE49-F238E27FC236}">
                  <a16:creationId xmlns:a16="http://schemas.microsoft.com/office/drawing/2014/main" id="{D4B72BE1-7930-4A28-A622-B3512746D0A6}"/>
                </a:ext>
              </a:extLst>
            </xdr:cNvPr>
            <xdr:cNvSpPr txBox="1"/>
          </xdr:nvSpPr>
          <xdr:spPr>
            <a:xfrm>
              <a:off x="15221280" y="3664781"/>
              <a:ext cx="142539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lang="pt-BR" sz="900" b="0" i="0">
                  <a:latin typeface="Cambria Math" panose="02040503050406030204" pitchFamily="18" charset="0"/>
                </a:rPr>
                <a:t>𝐼=𝐴</a:t>
              </a:r>
              <a:r>
                <a:rPr lang="pt-BR" sz="900" b="0" i="0">
                  <a:latin typeface="Cambria Math" panose="02040503050406030204" pitchFamily="18" charset="0"/>
                  <a:ea typeface="Cambria Math" panose="02040503050406030204" pitchFamily="18" charset="0"/>
                </a:rPr>
                <a:t>×</a:t>
              </a:r>
              <a:r>
                <a:rPr lang="pt-BR" sz="900" b="0" i="0">
                  <a:latin typeface="Cambria Math" panose="02040503050406030204" pitchFamily="18" charset="0"/>
                </a:rPr>
                <a:t>(𝐶_1+𝐶_4−𝐶_2 )</a:t>
              </a:r>
              <a:r>
                <a:rPr lang="pt-BR" sz="900" b="0" i="0">
                  <a:latin typeface="Cambria Math" panose="02040503050406030204" pitchFamily="18" charset="0"/>
                  <a:ea typeface="Cambria Math" panose="02040503050406030204" pitchFamily="18" charset="0"/>
                </a:rPr>
                <a:t>×0,5</a:t>
              </a:r>
              <a:endParaRPr lang="pt-BR" sz="900"/>
            </a:p>
          </xdr:txBody>
        </xdr:sp>
      </mc:Fallback>
    </mc:AlternateContent>
    <xdr:clientData/>
  </xdr:oneCellAnchor>
  <xdr:oneCellAnchor>
    <xdr:from>
      <xdr:col>14</xdr:col>
      <xdr:colOff>162041</xdr:colOff>
      <xdr:row>9</xdr:row>
      <xdr:rowOff>154068</xdr:rowOff>
    </xdr:from>
    <xdr:ext cx="758093" cy="140872"/>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9C269-8619-4912-986E-3B5AA7D7CAF0}"/>
                </a:ext>
              </a:extLst>
            </xdr:cNvPr>
            <xdr:cNvSpPr txBox="1"/>
          </xdr:nvSpPr>
          <xdr:spPr>
            <a:xfrm>
              <a:off x="12849341" y="3671968"/>
              <a:ext cx="75809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𝐺</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𝐵</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𝐸</m:t>
                    </m:r>
                  </m:oMath>
                </m:oMathPara>
              </a14:m>
              <a:endParaRPr lang="pt-BR" sz="900"/>
            </a:p>
          </xdr:txBody>
        </xdr:sp>
      </mc:Choice>
      <mc:Fallback xmlns="">
        <xdr:sp macro="" textlink="">
          <xdr:nvSpPr>
            <xdr:cNvPr id="5" name="CaixaDeTexto 4">
              <a:extLst>
                <a:ext uri="{FF2B5EF4-FFF2-40B4-BE49-F238E27FC236}">
                  <a16:creationId xmlns:a16="http://schemas.microsoft.com/office/drawing/2014/main" id="{E279C269-8619-4912-986E-3B5AA7D7CAF0}"/>
                </a:ext>
              </a:extLst>
            </xdr:cNvPr>
            <xdr:cNvSpPr txBox="1"/>
          </xdr:nvSpPr>
          <xdr:spPr>
            <a:xfrm>
              <a:off x="12849341" y="3671968"/>
              <a:ext cx="75809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𝐺=𝐴</a:t>
              </a:r>
              <a:r>
                <a:rPr lang="pt-BR" sz="900" b="0" i="0">
                  <a:latin typeface="Cambria Math" panose="02040503050406030204" pitchFamily="18" charset="0"/>
                  <a:ea typeface="Cambria Math" panose="02040503050406030204" pitchFamily="18" charset="0"/>
                </a:rPr>
                <a:t>×𝐵×𝐸</a:t>
              </a:r>
              <a:endParaRPr lang="pt-BR" sz="900"/>
            </a:p>
          </xdr:txBody>
        </xdr:sp>
      </mc:Fallback>
    </mc:AlternateContent>
    <xdr:clientData/>
  </xdr:oneCellAnchor>
  <xdr:oneCellAnchor>
    <xdr:from>
      <xdr:col>17</xdr:col>
      <xdr:colOff>129055</xdr:colOff>
      <xdr:row>9</xdr:row>
      <xdr:rowOff>146881</xdr:rowOff>
    </xdr:from>
    <xdr:ext cx="874022" cy="140872"/>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9409AFC9-46CD-40A2-AD68-EB6F9C21899E}"/>
                </a:ext>
              </a:extLst>
            </xdr:cNvPr>
            <xdr:cNvSpPr txBox="1"/>
          </xdr:nvSpPr>
          <xdr:spPr>
            <a:xfrm>
              <a:off x="16772405" y="3664781"/>
              <a:ext cx="874022"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𝐽</m:t>
                    </m:r>
                    <m:r>
                      <a:rPr lang="pt-BR" sz="900" b="0" i="1">
                        <a:latin typeface="Cambria Math" panose="02040503050406030204" pitchFamily="18" charset="0"/>
                      </a:rPr>
                      <m:t>=</m:t>
                    </m:r>
                    <m:r>
                      <a:rPr lang="pt-BR" sz="900" b="0" i="1">
                        <a:latin typeface="Cambria Math" panose="02040503050406030204" pitchFamily="18" charset="0"/>
                      </a:rPr>
                      <m:t>𝐼</m:t>
                    </m:r>
                    <m:r>
                      <a:rPr lang="pt-BR" sz="900" b="0" i="1">
                        <a:latin typeface="Cambria Math" panose="02040503050406030204" pitchFamily="18" charset="0"/>
                        <a:ea typeface="Cambria Math" panose="02040503050406030204" pitchFamily="18" charset="0"/>
                      </a:rPr>
                      <m:t>×1,30×</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30</m:t>
                        </m:r>
                      </m:e>
                    </m:d>
                  </m:oMath>
                </m:oMathPara>
              </a14:m>
              <a:endParaRPr lang="pt-BR" sz="900"/>
            </a:p>
          </xdr:txBody>
        </xdr:sp>
      </mc:Choice>
      <mc:Fallback xmlns="">
        <xdr:sp macro="" textlink="">
          <xdr:nvSpPr>
            <xdr:cNvPr id="6" name="CaixaDeTexto 5">
              <a:extLst>
                <a:ext uri="{FF2B5EF4-FFF2-40B4-BE49-F238E27FC236}">
                  <a16:creationId xmlns:a16="http://schemas.microsoft.com/office/drawing/2014/main" id="{9409AFC9-46CD-40A2-AD68-EB6F9C21899E}"/>
                </a:ext>
              </a:extLst>
            </xdr:cNvPr>
            <xdr:cNvSpPr txBox="1"/>
          </xdr:nvSpPr>
          <xdr:spPr>
            <a:xfrm>
              <a:off x="16772405" y="3664781"/>
              <a:ext cx="874022"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𝐽=𝐼</a:t>
              </a:r>
              <a:r>
                <a:rPr lang="pt-BR" sz="900" b="0" i="0">
                  <a:latin typeface="Cambria Math" panose="02040503050406030204" pitchFamily="18" charset="0"/>
                  <a:ea typeface="Cambria Math" panose="02040503050406030204" pitchFamily="18" charset="0"/>
                </a:rPr>
                <a:t>×1,30×(30)</a:t>
              </a:r>
              <a:endParaRPr lang="pt-BR" sz="900"/>
            </a:p>
          </xdr:txBody>
        </xdr:sp>
      </mc:Fallback>
    </mc:AlternateContent>
    <xdr:clientData/>
  </xdr:oneCellAnchor>
  <xdr:oneCellAnchor>
    <xdr:from>
      <xdr:col>19</xdr:col>
      <xdr:colOff>358</xdr:colOff>
      <xdr:row>9</xdr:row>
      <xdr:rowOff>0</xdr:rowOff>
    </xdr:from>
    <xdr:ext cx="1777641" cy="49530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EF48C79-DCDB-4E58-A1B9-F9842E8936FA}"/>
                </a:ext>
              </a:extLst>
            </xdr:cNvPr>
            <xdr:cNvSpPr txBox="1"/>
          </xdr:nvSpPr>
          <xdr:spPr>
            <a:xfrm>
              <a:off x="19171008" y="3517900"/>
              <a:ext cx="1777641"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𝐾</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ea typeface="Cambria Math" panose="02040503050406030204" pitchFamily="18" charset="0"/>
                          </a:rPr>
                        </m:ctrlPr>
                      </m:dPr>
                      <m:e>
                        <m:sSub>
                          <m:sSubPr>
                            <m:ctrlPr>
                              <a:rPr lang="pt-BR" sz="900" b="0" i="1">
                                <a:latin typeface="Cambria Math" panose="02040503050406030204" pitchFamily="18" charset="0"/>
                                <a:ea typeface="Cambria Math" panose="02040503050406030204" pitchFamily="18" charset="0"/>
                              </a:rPr>
                            </m:ctrlPr>
                          </m:sSubPr>
                          <m:e>
                            <m:r>
                              <a:rPr lang="pt-BR" sz="900" b="0" i="1">
                                <a:latin typeface="Cambria Math" panose="02040503050406030204" pitchFamily="18" charset="0"/>
                                <a:ea typeface="Cambria Math" panose="02040503050406030204" pitchFamily="18" charset="0"/>
                              </a:rPr>
                              <m:t>𝐶</m:t>
                            </m:r>
                          </m:e>
                          <m:sub>
                            <m:r>
                              <a:rPr lang="pt-BR" sz="900" b="0" i="1">
                                <a:latin typeface="Cambria Math" panose="02040503050406030204" pitchFamily="18" charset="0"/>
                                <a:ea typeface="Cambria Math" panose="02040503050406030204" pitchFamily="18" charset="0"/>
                              </a:rPr>
                              <m:t>3</m:t>
                            </m:r>
                          </m:sub>
                        </m:sSub>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ea typeface="Cambria Math" panose="02040503050406030204" pitchFamily="18" charset="0"/>
                              </a:rPr>
                            </m:ctrlPr>
                          </m:dPr>
                          <m:e>
                            <m:f>
                              <m:fPr>
                                <m:ctrlPr>
                                  <a:rPr lang="pt-BR" sz="900" b="0" i="1">
                                    <a:latin typeface="Cambria Math" panose="02040503050406030204" pitchFamily="18" charset="0"/>
                                    <a:ea typeface="Cambria Math" panose="02040503050406030204" pitchFamily="18" charset="0"/>
                                  </a:rPr>
                                </m:ctrlPr>
                              </m:fPr>
                              <m:num>
                                <m:sSub>
                                  <m:sSubPr>
                                    <m:ctrlPr>
                                      <a:rPr lang="pt-BR" sz="900" b="0" i="1">
                                        <a:latin typeface="Cambria Math" panose="02040503050406030204" pitchFamily="18" charset="0"/>
                                        <a:ea typeface="Cambria Math" panose="02040503050406030204" pitchFamily="18" charset="0"/>
                                      </a:rPr>
                                    </m:ctrlPr>
                                  </m:sSubPr>
                                  <m:e>
                                    <m:r>
                                      <a:rPr lang="pt-BR" sz="900" b="0" i="1">
                                        <a:latin typeface="Cambria Math" panose="02040503050406030204" pitchFamily="18" charset="0"/>
                                        <a:ea typeface="Cambria Math" panose="02040503050406030204" pitchFamily="18" charset="0"/>
                                      </a:rPr>
                                      <m:t>𝐶</m:t>
                                    </m:r>
                                  </m:e>
                                  <m:sub>
                                    <m:r>
                                      <a:rPr lang="pt-BR" sz="900" b="0" i="1">
                                        <a:latin typeface="Cambria Math" panose="02040503050406030204" pitchFamily="18" charset="0"/>
                                        <a:ea typeface="Cambria Math" panose="02040503050406030204" pitchFamily="18" charset="0"/>
                                      </a:rPr>
                                      <m:t>4</m:t>
                                    </m:r>
                                  </m:sub>
                                </m:sSub>
                              </m:num>
                              <m:den>
                                <m:r>
                                  <a:rPr lang="pt-BR" sz="900" b="0" i="1">
                                    <a:latin typeface="Cambria Math" panose="02040503050406030204" pitchFamily="18" charset="0"/>
                                    <a:ea typeface="Cambria Math" panose="02040503050406030204" pitchFamily="18" charset="0"/>
                                  </a:rPr>
                                  <m:t>2</m:t>
                                </m:r>
                              </m:den>
                            </m:f>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𝑁</m:t>
                            </m:r>
                          </m:e>
                        </m:d>
                        <m:r>
                          <a:rPr lang="pt-BR" sz="900" b="0" i="1">
                            <a:latin typeface="Cambria Math" panose="02040503050406030204" pitchFamily="18" charset="0"/>
                            <a:ea typeface="Cambria Math" panose="02040503050406030204" pitchFamily="18" charset="0"/>
                          </a:rPr>
                          <m:t>−</m:t>
                        </m:r>
                        <m:f>
                          <m:fPr>
                            <m:ctrlPr>
                              <a:rPr lang="pt-BR" sz="900" b="0" i="1">
                                <a:latin typeface="Cambria Math" panose="02040503050406030204" pitchFamily="18" charset="0"/>
                                <a:ea typeface="Cambria Math" panose="02040503050406030204" pitchFamily="18" charset="0"/>
                              </a:rPr>
                            </m:ctrlPr>
                          </m:fPr>
                          <m:num>
                            <m:r>
                              <a:rPr lang="pt-BR" sz="900" b="0" i="1">
                                <a:latin typeface="Cambria Math" panose="02040503050406030204" pitchFamily="18" charset="0"/>
                                <a:ea typeface="Cambria Math" panose="02040503050406030204" pitchFamily="18" charset="0"/>
                              </a:rPr>
                              <m:t>𝑁</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𝑁</m:t>
                            </m:r>
                          </m:num>
                          <m:den>
                            <m:r>
                              <a:rPr lang="pt-BR" sz="900" b="0" i="1">
                                <a:latin typeface="Cambria Math" panose="02040503050406030204" pitchFamily="18" charset="0"/>
                                <a:ea typeface="Cambria Math" panose="02040503050406030204" pitchFamily="18" charset="0"/>
                              </a:rPr>
                              <m:t>2</m:t>
                            </m:r>
                          </m:den>
                        </m:f>
                      </m:e>
                    </m:d>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𝐼</m:t>
                    </m:r>
                  </m:oMath>
                </m:oMathPara>
              </a14:m>
              <a:endParaRPr lang="pt-BR" sz="900"/>
            </a:p>
          </xdr:txBody>
        </xdr:sp>
      </mc:Choice>
      <mc:Fallback xmlns="">
        <xdr:sp macro="" textlink="">
          <xdr:nvSpPr>
            <xdr:cNvPr id="7" name="CaixaDeTexto 6">
              <a:extLst>
                <a:ext uri="{FF2B5EF4-FFF2-40B4-BE49-F238E27FC236}">
                  <a16:creationId xmlns:a16="http://schemas.microsoft.com/office/drawing/2014/main" id="{9EF48C79-DCDB-4E58-A1B9-F9842E8936FA}"/>
                </a:ext>
              </a:extLst>
            </xdr:cNvPr>
            <xdr:cNvSpPr txBox="1"/>
          </xdr:nvSpPr>
          <xdr:spPr>
            <a:xfrm>
              <a:off x="19171008" y="3517900"/>
              <a:ext cx="1777641"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pt-BR" sz="900" b="0" i="0">
                  <a:latin typeface="Cambria Math" panose="02040503050406030204" pitchFamily="18" charset="0"/>
                </a:rPr>
                <a:t>𝐾=𝐴</a:t>
              </a:r>
              <a:r>
                <a:rPr lang="pt-BR" sz="900" b="0" i="0">
                  <a:latin typeface="Cambria Math" panose="02040503050406030204" pitchFamily="18" charset="0"/>
                  <a:ea typeface="Cambria Math" panose="02040503050406030204" pitchFamily="18" charset="0"/>
                </a:rPr>
                <a:t>∙(𝐶_3∙(𝐶_4/2+𝑁)−(𝑁∙𝑁)/2)−𝐼</a:t>
              </a:r>
              <a:endParaRPr lang="pt-BR" sz="900"/>
            </a:p>
          </xdr:txBody>
        </xdr:sp>
      </mc:Fallback>
    </mc:AlternateContent>
    <xdr:clientData/>
  </xdr:oneCellAnchor>
  <xdr:oneCellAnchor>
    <xdr:from>
      <xdr:col>20</xdr:col>
      <xdr:colOff>93923</xdr:colOff>
      <xdr:row>9</xdr:row>
      <xdr:rowOff>149256</xdr:rowOff>
    </xdr:from>
    <xdr:ext cx="1056571" cy="140872"/>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09E79EBA-D947-4CB3-A684-7F3268F2DAE8}"/>
                </a:ext>
              </a:extLst>
            </xdr:cNvPr>
            <xdr:cNvSpPr txBox="1"/>
          </xdr:nvSpPr>
          <xdr:spPr>
            <a:xfrm>
              <a:off x="20896523" y="3667156"/>
              <a:ext cx="105657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𝐿</m:t>
                    </m:r>
                    <m:r>
                      <a:rPr lang="pt-BR" sz="900" b="0" i="1">
                        <a:latin typeface="Cambria Math" panose="02040503050406030204" pitchFamily="18" charset="0"/>
                      </a:rPr>
                      <m:t>=</m:t>
                    </m:r>
                    <m:r>
                      <a:rPr lang="pt-BR" sz="900" b="0" i="1">
                        <a:latin typeface="Cambria Math" panose="02040503050406030204" pitchFamily="18" charset="0"/>
                      </a:rPr>
                      <m:t>𝐾</m:t>
                    </m:r>
                    <m:r>
                      <a:rPr lang="pt-BR" sz="900" b="0" i="1">
                        <a:latin typeface="Cambria Math" panose="02040503050406030204" pitchFamily="18" charset="0"/>
                        <a:ea typeface="Cambria Math" panose="02040503050406030204" pitchFamily="18" charset="0"/>
                      </a:rPr>
                      <m:t>×1,30×</m:t>
                    </m:r>
                    <m:r>
                      <a:rPr lang="pt-BR" sz="900" b="0" i="1">
                        <a:latin typeface="Cambria Math" panose="02040503050406030204" pitchFamily="18" charset="0"/>
                        <a:ea typeface="Cambria Math" panose="02040503050406030204" pitchFamily="18" charset="0"/>
                      </a:rPr>
                      <m:t>𝐷𝑀𝑇</m:t>
                    </m:r>
                  </m:oMath>
                </m:oMathPara>
              </a14:m>
              <a:endParaRPr lang="pt-BR" sz="900"/>
            </a:p>
          </xdr:txBody>
        </xdr:sp>
      </mc:Choice>
      <mc:Fallback xmlns="">
        <xdr:sp macro="" textlink="">
          <xdr:nvSpPr>
            <xdr:cNvPr id="8" name="CaixaDeTexto 7">
              <a:extLst>
                <a:ext uri="{FF2B5EF4-FFF2-40B4-BE49-F238E27FC236}">
                  <a16:creationId xmlns:a16="http://schemas.microsoft.com/office/drawing/2014/main" id="{09E79EBA-D947-4CB3-A684-7F3268F2DAE8}"/>
                </a:ext>
              </a:extLst>
            </xdr:cNvPr>
            <xdr:cNvSpPr txBox="1"/>
          </xdr:nvSpPr>
          <xdr:spPr>
            <a:xfrm>
              <a:off x="20896523" y="3667156"/>
              <a:ext cx="105657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𝐿=𝐾</a:t>
              </a:r>
              <a:r>
                <a:rPr lang="pt-BR" sz="900" b="0" i="0">
                  <a:latin typeface="Cambria Math" panose="02040503050406030204" pitchFamily="18" charset="0"/>
                  <a:ea typeface="Cambria Math" panose="02040503050406030204" pitchFamily="18" charset="0"/>
                </a:rPr>
                <a:t>×1,30×𝐷𝑀𝑇</a:t>
              </a:r>
              <a:endParaRPr lang="pt-BR" sz="900"/>
            </a:p>
          </xdr:txBody>
        </xdr:sp>
      </mc:Fallback>
    </mc:AlternateContent>
    <xdr:clientData/>
  </xdr:oneCellAnchor>
  <xdr:oneCellAnchor>
    <xdr:from>
      <xdr:col>22</xdr:col>
      <xdr:colOff>2735</xdr:colOff>
      <xdr:row>9</xdr:row>
      <xdr:rowOff>148477</xdr:rowOff>
    </xdr:from>
    <xdr:ext cx="1096326" cy="140872"/>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DA149951-6EA7-4A35-8C49-DD82804A2359}"/>
                </a:ext>
              </a:extLst>
            </xdr:cNvPr>
            <xdr:cNvSpPr txBox="1"/>
          </xdr:nvSpPr>
          <xdr:spPr>
            <a:xfrm>
              <a:off x="23332635" y="3666377"/>
              <a:ext cx="1096326"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𝑀</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×0,10×6×2</m:t>
                    </m:r>
                  </m:oMath>
                </m:oMathPara>
              </a14:m>
              <a:endParaRPr lang="pt-BR" sz="900"/>
            </a:p>
          </xdr:txBody>
        </xdr:sp>
      </mc:Choice>
      <mc:Fallback xmlns="">
        <xdr:sp macro="" textlink="">
          <xdr:nvSpPr>
            <xdr:cNvPr id="9" name="CaixaDeTexto 8">
              <a:extLst>
                <a:ext uri="{FF2B5EF4-FFF2-40B4-BE49-F238E27FC236}">
                  <a16:creationId xmlns:a16="http://schemas.microsoft.com/office/drawing/2014/main" id="{DA149951-6EA7-4A35-8C49-DD82804A2359}"/>
                </a:ext>
              </a:extLst>
            </xdr:cNvPr>
            <xdr:cNvSpPr txBox="1"/>
          </xdr:nvSpPr>
          <xdr:spPr>
            <a:xfrm>
              <a:off x="23332635" y="3666377"/>
              <a:ext cx="1096326"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𝑀=𝐴</a:t>
              </a:r>
              <a:r>
                <a:rPr lang="pt-BR" sz="900" b="0" i="0">
                  <a:latin typeface="Cambria Math" panose="02040503050406030204" pitchFamily="18" charset="0"/>
                  <a:ea typeface="Cambria Math" panose="02040503050406030204" pitchFamily="18" charset="0"/>
                </a:rPr>
                <a:t>×0,10×6×2</a:t>
              </a:r>
              <a:endParaRPr lang="pt-BR" sz="900"/>
            </a:p>
          </xdr:txBody>
        </xdr:sp>
      </mc:Fallback>
    </mc:AlternateContent>
    <xdr:clientData/>
  </xdr:oneCellAnchor>
  <xdr:oneCellAnchor>
    <xdr:from>
      <xdr:col>23</xdr:col>
      <xdr:colOff>942480</xdr:colOff>
      <xdr:row>9</xdr:row>
      <xdr:rowOff>1609</xdr:rowOff>
    </xdr:from>
    <xdr:ext cx="1231556" cy="409215"/>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D7634DA6-32B5-4B56-BD87-4204C2B944E2}"/>
                </a:ext>
              </a:extLst>
            </xdr:cNvPr>
            <xdr:cNvSpPr txBox="1"/>
          </xdr:nvSpPr>
          <xdr:spPr>
            <a:xfrm>
              <a:off x="25243930" y="3519509"/>
              <a:ext cx="1231556"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𝑂</m:t>
                    </m:r>
                    <m:r>
                      <a:rPr lang="pt-BR" sz="900" b="0" i="1">
                        <a:latin typeface="Cambria Math" panose="02040503050406030204" pitchFamily="18" charset="0"/>
                      </a:rPr>
                      <m:t>=</m:t>
                    </m:r>
                    <m:rad>
                      <m:radPr>
                        <m:degHide m:val="on"/>
                        <m:ctrlPr>
                          <a:rPr lang="pt-BR" sz="900" b="0" i="1">
                            <a:latin typeface="Cambria Math" panose="02040503050406030204" pitchFamily="18" charset="0"/>
                          </a:rPr>
                        </m:ctrlPr>
                      </m:radPr>
                      <m:deg/>
                      <m:e>
                        <m:sSup>
                          <m:sSupPr>
                            <m:ctrlPr>
                              <a:rPr lang="pt-BR" sz="900" b="0" i="1">
                                <a:latin typeface="Cambria Math" panose="02040503050406030204" pitchFamily="18" charset="0"/>
                              </a:rPr>
                            </m:ctrlPr>
                          </m:sSupPr>
                          <m:e>
                            <m:r>
                              <a:rPr lang="pt-BR" sz="900" b="0" i="1">
                                <a:latin typeface="Cambria Math" panose="02040503050406030204" pitchFamily="18" charset="0"/>
                              </a:rPr>
                              <m:t>𝑁</m:t>
                            </m:r>
                          </m:e>
                          <m:sup>
                            <m:r>
                              <a:rPr lang="pt-BR" sz="900" b="0" i="1">
                                <a:latin typeface="Cambria Math" panose="02040503050406030204" pitchFamily="18" charset="0"/>
                              </a:rPr>
                              <m:t>2</m:t>
                            </m:r>
                          </m:sup>
                        </m:sSup>
                        <m:r>
                          <a:rPr lang="pt-BR" sz="900" b="0" i="1">
                            <a:latin typeface="Cambria Math" panose="02040503050406030204" pitchFamily="18" charset="0"/>
                          </a:rPr>
                          <m:t>+</m:t>
                        </m:r>
                        <m:sSup>
                          <m:sSupPr>
                            <m:ctrlPr>
                              <a:rPr lang="pt-BR" sz="900" b="0" i="1">
                                <a:latin typeface="Cambria Math" panose="02040503050406030204" pitchFamily="18" charset="0"/>
                              </a:rPr>
                            </m:ctrlPr>
                          </m:sSupPr>
                          <m:e>
                            <m:d>
                              <m:dPr>
                                <m:begChr m:val="["/>
                                <m:endChr m:val="]"/>
                                <m:ctrlP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dPr>
                              <m:e>
                                <m:f>
                                  <m:fPr>
                                    <m:ctrlP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fPr>
                                  <m:num>
                                    <m:d>
                                      <m:dPr>
                                        <m:ctrlP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dPr>
                                      <m:e>
                                        <m:sSub>
                                          <m:sSubPr>
                                            <m:ctrlP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𝐶</m:t>
                                            </m:r>
                                          </m:e>
                                          <m:sub>
                                            <m: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1</m:t>
                                            </m:r>
                                          </m:sub>
                                        </m:sSub>
                                        <m: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m:t>
                                        </m:r>
                                        <m:sSub>
                                          <m:sSubPr>
                                            <m:ctrlP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𝐶</m:t>
                                            </m:r>
                                          </m:e>
                                          <m:sub>
                                            <m: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2</m:t>
                                            </m:r>
                                          </m:sub>
                                        </m:sSub>
                                      </m:e>
                                    </m:d>
                                  </m:num>
                                  <m:den>
                                    <m:r>
                                      <a:rPr kumimoji="0" lang="pt-BR" sz="9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2</m:t>
                                    </m:r>
                                  </m:den>
                                </m:f>
                              </m:e>
                            </m:d>
                          </m:e>
                          <m:sup>
                            <m:r>
                              <a:rPr lang="pt-BR" sz="900" b="0" i="1">
                                <a:latin typeface="Cambria Math" panose="02040503050406030204" pitchFamily="18" charset="0"/>
                              </a:rPr>
                              <m:t>2</m:t>
                            </m:r>
                          </m:sup>
                        </m:sSup>
                      </m:e>
                    </m:rad>
                  </m:oMath>
                </m:oMathPara>
              </a14:m>
              <a:endParaRPr lang="pt-BR" sz="900"/>
            </a:p>
          </xdr:txBody>
        </xdr:sp>
      </mc:Choice>
      <mc:Fallback xmlns="">
        <xdr:sp macro="" textlink="">
          <xdr:nvSpPr>
            <xdr:cNvPr id="10" name="CaixaDeTexto 9">
              <a:extLst>
                <a:ext uri="{FF2B5EF4-FFF2-40B4-BE49-F238E27FC236}">
                  <a16:creationId xmlns:a16="http://schemas.microsoft.com/office/drawing/2014/main" id="{D7634DA6-32B5-4B56-BD87-4204C2B944E2}"/>
                </a:ext>
              </a:extLst>
            </xdr:cNvPr>
            <xdr:cNvSpPr txBox="1"/>
          </xdr:nvSpPr>
          <xdr:spPr>
            <a:xfrm>
              <a:off x="25243930" y="3519509"/>
              <a:ext cx="1231556"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𝑂=√(𝑁^2+</a:t>
              </a:r>
              <a:r>
                <a:rPr kumimoji="0" lang="pt-BR" sz="900" b="0" i="0" u="none" strike="noStrike" kern="0" cap="none" spc="0" normalizeH="0" baseline="0" noProof="0">
                  <a:ln>
                    <a:noFill/>
                  </a:ln>
                  <a:solidFill>
                    <a:prstClr val="black"/>
                  </a:solidFill>
                  <a:effectLst/>
                  <a:uLnTx/>
                  <a:uFillTx/>
                  <a:latin typeface="Cambria Math" panose="02040503050406030204" pitchFamily="18" charset="0"/>
                  <a:ea typeface="+mn-ea"/>
                  <a:cs typeface="+mn-cs"/>
                </a:rPr>
                <a:t>[((𝐶_1−𝐶_2 ))/2]^</a:t>
              </a:r>
              <a:r>
                <a:rPr lang="pt-BR" sz="900" b="0" i="0">
                  <a:latin typeface="Cambria Math" panose="02040503050406030204" pitchFamily="18" charset="0"/>
                </a:rPr>
                <a:t>2 )</a:t>
              </a:r>
              <a:endParaRPr lang="pt-BR" sz="900"/>
            </a:p>
          </xdr:txBody>
        </xdr:sp>
      </mc:Fallback>
    </mc:AlternateContent>
    <xdr:clientData/>
  </xdr:oneCellAnchor>
  <xdr:oneCellAnchor>
    <xdr:from>
      <xdr:col>25</xdr:col>
      <xdr:colOff>0</xdr:colOff>
      <xdr:row>9</xdr:row>
      <xdr:rowOff>12944</xdr:rowOff>
    </xdr:from>
    <xdr:ext cx="1984261" cy="409215"/>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3EF649F9-0665-43DF-8C4D-3615B2E5B282}"/>
                </a:ext>
              </a:extLst>
            </xdr:cNvPr>
            <xdr:cNvSpPr txBox="1"/>
          </xdr:nvSpPr>
          <xdr:spPr>
            <a:xfrm>
              <a:off x="26498550" y="3530844"/>
              <a:ext cx="1984261"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𝑃</m:t>
                    </m:r>
                    <m:r>
                      <a:rPr lang="pt-BR" sz="900" b="0" i="1">
                        <a:latin typeface="Cambria Math" panose="02040503050406030204" pitchFamily="18" charset="0"/>
                      </a:rPr>
                      <m:t>=</m:t>
                    </m:r>
                    <m:r>
                      <a:rPr lang="pt-BR" sz="900" b="0" i="1">
                        <a:latin typeface="Cambria Math" panose="02040503050406030204" pitchFamily="18" charset="0"/>
                      </a:rPr>
                      <m:t>𝑂</m:t>
                    </m:r>
                    <m:r>
                      <a:rPr lang="pt-BR" sz="900" b="0" i="1">
                        <a:latin typeface="Cambria Math" panose="02040503050406030204" pitchFamily="18" charset="0"/>
                      </a:rPr>
                      <m:t>−</m:t>
                    </m:r>
                    <m:rad>
                      <m:radPr>
                        <m:degHide m:val="on"/>
                        <m:ctrlPr>
                          <a:rPr lang="pt-BR" sz="900" b="0" i="1">
                            <a:latin typeface="Cambria Math" panose="02040503050406030204" pitchFamily="18" charset="0"/>
                          </a:rPr>
                        </m:ctrlPr>
                      </m:radPr>
                      <m:deg/>
                      <m:e>
                        <m:sSup>
                          <m:sSupPr>
                            <m:ctrlPr>
                              <a:rPr lang="pt-BR" sz="900" b="0" i="1">
                                <a:latin typeface="Cambria Math" panose="02040503050406030204" pitchFamily="18" charset="0"/>
                              </a:rPr>
                            </m:ctrlPr>
                          </m:sSupPr>
                          <m:e>
                            <m:r>
                              <a:rPr lang="pt-BR" sz="900" b="0" i="1">
                                <a:latin typeface="Cambria Math" panose="02040503050406030204" pitchFamily="18" charset="0"/>
                              </a:rPr>
                              <m:t>0,2</m:t>
                            </m:r>
                          </m:e>
                          <m:sup>
                            <m:r>
                              <a:rPr lang="pt-BR" sz="900" b="0" i="1">
                                <a:latin typeface="Cambria Math" panose="02040503050406030204" pitchFamily="18" charset="0"/>
                              </a:rPr>
                              <m:t>2</m:t>
                            </m:r>
                          </m:sup>
                        </m:sSup>
                        <m:r>
                          <a:rPr lang="pt-BR" sz="900" b="0" i="1">
                            <a:latin typeface="Cambria Math" panose="02040503050406030204" pitchFamily="18" charset="0"/>
                          </a:rPr>
                          <m:t>+</m:t>
                        </m:r>
                        <m:sSup>
                          <m:sSupPr>
                            <m:ctrlPr>
                              <a:rPr lang="pt-BR" sz="900" b="0" i="1">
                                <a:latin typeface="Cambria Math" panose="02040503050406030204" pitchFamily="18" charset="0"/>
                              </a:rPr>
                            </m:ctrlPr>
                          </m:sSupPr>
                          <m:e>
                            <m:d>
                              <m:dPr>
                                <m:ctrlPr>
                                  <a:rPr lang="pt-BR" sz="900" b="0" i="1">
                                    <a:latin typeface="Cambria Math" panose="02040503050406030204" pitchFamily="18" charset="0"/>
                                  </a:rPr>
                                </m:ctrlPr>
                              </m:dPr>
                              <m:e>
                                <m:r>
                                  <a:rPr lang="pt-BR" sz="900" b="0" i="1">
                                    <a:latin typeface="Cambria Math" panose="02040503050406030204" pitchFamily="18" charset="0"/>
                                  </a:rPr>
                                  <m:t>0,2</m:t>
                                </m:r>
                                <m:r>
                                  <a:rPr lang="pt-BR" sz="900" b="0" i="1">
                                    <a:latin typeface="Cambria Math" panose="02040503050406030204" pitchFamily="18" charset="0"/>
                                    <a:ea typeface="Cambria Math" panose="02040503050406030204" pitchFamily="18" charset="0"/>
                                  </a:rPr>
                                  <m:t>×</m:t>
                                </m:r>
                                <m:f>
                                  <m:fPr>
                                    <m:type m:val="lin"/>
                                    <m:ctrlPr>
                                      <a:rPr lang="pt-BR" sz="900" b="0" i="1">
                                        <a:latin typeface="Cambria Math" panose="02040503050406030204" pitchFamily="18" charset="0"/>
                                        <a:ea typeface="Cambria Math" panose="02040503050406030204" pitchFamily="18" charset="0"/>
                                      </a:rPr>
                                    </m:ctrlPr>
                                  </m:fPr>
                                  <m:num>
                                    <m:f>
                                      <m:fPr>
                                        <m:ctrlPr>
                                          <a:rPr lang="pt-BR" sz="900" b="0" i="1">
                                            <a:latin typeface="Cambria Math" panose="02040503050406030204" pitchFamily="18" charset="0"/>
                                            <a:ea typeface="Cambria Math" panose="02040503050406030204" pitchFamily="18" charset="0"/>
                                          </a:rPr>
                                        </m:ctrlPr>
                                      </m:fPr>
                                      <m:num>
                                        <m:d>
                                          <m:dPr>
                                            <m:ctrlPr>
                                              <a:rPr lang="pt-BR" sz="900" b="0" i="1">
                                                <a:latin typeface="Cambria Math" panose="02040503050406030204" pitchFamily="18" charset="0"/>
                                                <a:ea typeface="Cambria Math" panose="02040503050406030204" pitchFamily="18" charset="0"/>
                                              </a:rPr>
                                            </m:ctrlPr>
                                          </m:dPr>
                                          <m:e>
                                            <m:sSub>
                                              <m:sSubPr>
                                                <m:ctrlPr>
                                                  <a:rPr lang="pt-BR" sz="900" b="0" i="1">
                                                    <a:latin typeface="Cambria Math" panose="02040503050406030204" pitchFamily="18" charset="0"/>
                                                    <a:ea typeface="Cambria Math" panose="02040503050406030204" pitchFamily="18" charset="0"/>
                                                  </a:rPr>
                                                </m:ctrlPr>
                                              </m:sSubPr>
                                              <m:e>
                                                <m:r>
                                                  <a:rPr lang="pt-BR" sz="900" b="0" i="1">
                                                    <a:latin typeface="Cambria Math" panose="02040503050406030204" pitchFamily="18" charset="0"/>
                                                    <a:ea typeface="Cambria Math" panose="02040503050406030204" pitchFamily="18" charset="0"/>
                                                  </a:rPr>
                                                  <m:t>𝐶</m:t>
                                                </m:r>
                                              </m:e>
                                              <m:sub>
                                                <m:r>
                                                  <a:rPr lang="pt-BR" sz="900" b="0" i="1">
                                                    <a:latin typeface="Cambria Math" panose="02040503050406030204" pitchFamily="18" charset="0"/>
                                                    <a:ea typeface="Cambria Math" panose="02040503050406030204" pitchFamily="18" charset="0"/>
                                                  </a:rPr>
                                                  <m:t>1</m:t>
                                                </m:r>
                                              </m:sub>
                                            </m:sSub>
                                            <m:r>
                                              <a:rPr lang="pt-BR" sz="900" b="0" i="1">
                                                <a:latin typeface="Cambria Math" panose="02040503050406030204" pitchFamily="18" charset="0"/>
                                                <a:ea typeface="Cambria Math" panose="02040503050406030204" pitchFamily="18" charset="0"/>
                                              </a:rPr>
                                              <m:t>−</m:t>
                                            </m:r>
                                            <m:sSub>
                                              <m:sSubPr>
                                                <m:ctrlPr>
                                                  <a:rPr lang="pt-BR" sz="900" b="0" i="1">
                                                    <a:latin typeface="Cambria Math" panose="02040503050406030204" pitchFamily="18" charset="0"/>
                                                    <a:ea typeface="Cambria Math" panose="02040503050406030204" pitchFamily="18" charset="0"/>
                                                  </a:rPr>
                                                </m:ctrlPr>
                                              </m:sSubPr>
                                              <m:e>
                                                <m:r>
                                                  <a:rPr lang="pt-BR" sz="900" b="0" i="1">
                                                    <a:latin typeface="Cambria Math" panose="02040503050406030204" pitchFamily="18" charset="0"/>
                                                    <a:ea typeface="Cambria Math" panose="02040503050406030204" pitchFamily="18" charset="0"/>
                                                  </a:rPr>
                                                  <m:t>𝐶</m:t>
                                                </m:r>
                                              </m:e>
                                              <m:sub>
                                                <m:r>
                                                  <a:rPr lang="pt-BR" sz="900" b="0" i="1">
                                                    <a:latin typeface="Cambria Math" panose="02040503050406030204" pitchFamily="18" charset="0"/>
                                                    <a:ea typeface="Cambria Math" panose="02040503050406030204" pitchFamily="18" charset="0"/>
                                                  </a:rPr>
                                                  <m:t>2</m:t>
                                                </m:r>
                                              </m:sub>
                                            </m:sSub>
                                          </m:e>
                                        </m:d>
                                      </m:num>
                                      <m:den>
                                        <m:r>
                                          <a:rPr lang="pt-BR" sz="900" b="0" i="1">
                                            <a:latin typeface="Cambria Math" panose="02040503050406030204" pitchFamily="18" charset="0"/>
                                            <a:ea typeface="Cambria Math" panose="02040503050406030204" pitchFamily="18" charset="0"/>
                                          </a:rPr>
                                          <m:t>2</m:t>
                                        </m:r>
                                      </m:den>
                                    </m:f>
                                  </m:num>
                                  <m:den>
                                    <m:r>
                                      <a:rPr lang="pt-BR" sz="900" b="0" i="1">
                                        <a:latin typeface="Cambria Math" panose="02040503050406030204" pitchFamily="18" charset="0"/>
                                        <a:ea typeface="Cambria Math" panose="02040503050406030204" pitchFamily="18" charset="0"/>
                                      </a:rPr>
                                      <m:t>𝑁</m:t>
                                    </m:r>
                                  </m:den>
                                </m:f>
                              </m:e>
                            </m:d>
                          </m:e>
                          <m:sup>
                            <m:r>
                              <a:rPr lang="pt-BR" sz="900" b="0" i="1">
                                <a:latin typeface="Cambria Math" panose="02040503050406030204" pitchFamily="18" charset="0"/>
                              </a:rPr>
                              <m:t>2</m:t>
                            </m:r>
                          </m:sup>
                        </m:sSup>
                      </m:e>
                    </m:rad>
                  </m:oMath>
                </m:oMathPara>
              </a14:m>
              <a:endParaRPr lang="pt-BR" sz="900"/>
            </a:p>
          </xdr:txBody>
        </xdr:sp>
      </mc:Choice>
      <mc:Fallback xmlns="">
        <xdr:sp macro="" textlink="">
          <xdr:nvSpPr>
            <xdr:cNvPr id="11" name="CaixaDeTexto 10">
              <a:extLst>
                <a:ext uri="{FF2B5EF4-FFF2-40B4-BE49-F238E27FC236}">
                  <a16:creationId xmlns:a16="http://schemas.microsoft.com/office/drawing/2014/main" id="{3EF649F9-0665-43DF-8C4D-3615B2E5B282}"/>
                </a:ext>
              </a:extLst>
            </xdr:cNvPr>
            <xdr:cNvSpPr txBox="1"/>
          </xdr:nvSpPr>
          <xdr:spPr>
            <a:xfrm>
              <a:off x="26498550" y="3530844"/>
              <a:ext cx="1984261" cy="409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𝑃=𝑂−√(〖0,2〗^2+(0,2</a:t>
              </a:r>
              <a:r>
                <a:rPr lang="pt-BR" sz="900" b="0" i="0">
                  <a:latin typeface="Cambria Math" panose="02040503050406030204" pitchFamily="18" charset="0"/>
                  <a:ea typeface="Cambria Math" panose="02040503050406030204" pitchFamily="18" charset="0"/>
                </a:rPr>
                <a:t>×〖((𝐶_1−𝐶_2 ))/2〗∕𝑁)^</a:t>
              </a:r>
              <a:r>
                <a:rPr lang="pt-BR" sz="900" b="0" i="0">
                  <a:latin typeface="Cambria Math" panose="02040503050406030204" pitchFamily="18" charset="0"/>
                </a:rPr>
                <a:t>2 )</a:t>
              </a:r>
              <a:endParaRPr lang="pt-BR" sz="900"/>
            </a:p>
          </xdr:txBody>
        </xdr:sp>
      </mc:Fallback>
    </mc:AlternateContent>
    <xdr:clientData/>
  </xdr:oneCellAnchor>
  <xdr:oneCellAnchor>
    <xdr:from>
      <xdr:col>26</xdr:col>
      <xdr:colOff>5381</xdr:colOff>
      <xdr:row>9</xdr:row>
      <xdr:rowOff>156684</xdr:rowOff>
    </xdr:from>
    <xdr:ext cx="1100366" cy="140872"/>
    <mc:AlternateContent xmlns:mc="http://schemas.openxmlformats.org/markup-compatibility/2006" xmlns:a14="http://schemas.microsoft.com/office/drawing/2010/main">
      <mc:Choice Requires="a14">
        <xdr:sp macro="" textlink="">
          <xdr:nvSpPr>
            <xdr:cNvPr id="12" name="CaixaDeTexto 11">
              <a:extLst>
                <a:ext uri="{FF2B5EF4-FFF2-40B4-BE49-F238E27FC236}">
                  <a16:creationId xmlns:a16="http://schemas.microsoft.com/office/drawing/2014/main" id="{97420CFF-DBD4-49F9-BAC3-3735D4F0B848}"/>
                </a:ext>
              </a:extLst>
            </xdr:cNvPr>
            <xdr:cNvSpPr txBox="1"/>
          </xdr:nvSpPr>
          <xdr:spPr>
            <a:xfrm>
              <a:off x="28529581" y="3674584"/>
              <a:ext cx="1100366"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𝑄</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×0,5×1,0×2</m:t>
                    </m:r>
                  </m:oMath>
                </m:oMathPara>
              </a14:m>
              <a:endParaRPr lang="pt-BR" sz="900"/>
            </a:p>
          </xdr:txBody>
        </xdr:sp>
      </mc:Choice>
      <mc:Fallback xmlns="">
        <xdr:sp macro="" textlink="">
          <xdr:nvSpPr>
            <xdr:cNvPr id="12" name="CaixaDeTexto 11">
              <a:extLst>
                <a:ext uri="{FF2B5EF4-FFF2-40B4-BE49-F238E27FC236}">
                  <a16:creationId xmlns:a16="http://schemas.microsoft.com/office/drawing/2014/main" id="{97420CFF-DBD4-49F9-BAC3-3735D4F0B848}"/>
                </a:ext>
              </a:extLst>
            </xdr:cNvPr>
            <xdr:cNvSpPr txBox="1"/>
          </xdr:nvSpPr>
          <xdr:spPr>
            <a:xfrm>
              <a:off x="28529581" y="3674584"/>
              <a:ext cx="1100366"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𝑄=𝐴</a:t>
              </a:r>
              <a:r>
                <a:rPr lang="pt-BR" sz="900" b="0" i="0">
                  <a:latin typeface="Cambria Math" panose="02040503050406030204" pitchFamily="18" charset="0"/>
                  <a:ea typeface="Cambria Math" panose="02040503050406030204" pitchFamily="18" charset="0"/>
                </a:rPr>
                <a:t>×0,5×1,0×2</a:t>
              </a:r>
              <a:endParaRPr lang="pt-BR" sz="900"/>
            </a:p>
          </xdr:txBody>
        </xdr:sp>
      </mc:Fallback>
    </mc:AlternateContent>
    <xdr:clientData/>
  </xdr:oneCellAnchor>
  <xdr:oneCellAnchor>
    <xdr:from>
      <xdr:col>27</xdr:col>
      <xdr:colOff>81100</xdr:colOff>
      <xdr:row>9</xdr:row>
      <xdr:rowOff>147268</xdr:rowOff>
    </xdr:from>
    <xdr:ext cx="733471" cy="140872"/>
    <mc:AlternateContent xmlns:mc="http://schemas.openxmlformats.org/markup-compatibility/2006" xmlns:a14="http://schemas.microsoft.com/office/drawing/2010/main">
      <mc:Choice Requires="a14">
        <xdr:sp macro="" textlink="">
          <xdr:nvSpPr>
            <xdr:cNvPr id="13" name="CaixaDeTexto 12">
              <a:extLst>
                <a:ext uri="{FF2B5EF4-FFF2-40B4-BE49-F238E27FC236}">
                  <a16:creationId xmlns:a16="http://schemas.microsoft.com/office/drawing/2014/main" id="{47DA7E58-BBAF-4ED7-AA32-C129B6FA82DB}"/>
                </a:ext>
              </a:extLst>
            </xdr:cNvPr>
            <xdr:cNvSpPr txBox="1"/>
          </xdr:nvSpPr>
          <xdr:spPr>
            <a:xfrm>
              <a:off x="29729250" y="3665168"/>
              <a:ext cx="73347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𝑅</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𝑃</m:t>
                    </m:r>
                    <m:r>
                      <a:rPr lang="pt-BR" sz="900" b="0" i="1">
                        <a:latin typeface="Cambria Math" panose="02040503050406030204" pitchFamily="18" charset="0"/>
                        <a:ea typeface="Cambria Math" panose="02040503050406030204" pitchFamily="18" charset="0"/>
                      </a:rPr>
                      <m:t>×2</m:t>
                    </m:r>
                  </m:oMath>
                </m:oMathPara>
              </a14:m>
              <a:endParaRPr lang="pt-BR" sz="900"/>
            </a:p>
          </xdr:txBody>
        </xdr:sp>
      </mc:Choice>
      <mc:Fallback xmlns="">
        <xdr:sp macro="" textlink="">
          <xdr:nvSpPr>
            <xdr:cNvPr id="13" name="CaixaDeTexto 12">
              <a:extLst>
                <a:ext uri="{FF2B5EF4-FFF2-40B4-BE49-F238E27FC236}">
                  <a16:creationId xmlns:a16="http://schemas.microsoft.com/office/drawing/2014/main" id="{47DA7E58-BBAF-4ED7-AA32-C129B6FA82DB}"/>
                </a:ext>
              </a:extLst>
            </xdr:cNvPr>
            <xdr:cNvSpPr txBox="1"/>
          </xdr:nvSpPr>
          <xdr:spPr>
            <a:xfrm>
              <a:off x="29729250" y="3665168"/>
              <a:ext cx="73347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𝑅=𝐴</a:t>
              </a:r>
              <a:r>
                <a:rPr lang="pt-BR" sz="900" b="0" i="0">
                  <a:latin typeface="Cambria Math" panose="02040503050406030204" pitchFamily="18" charset="0"/>
                  <a:ea typeface="Cambria Math" panose="02040503050406030204" pitchFamily="18" charset="0"/>
                </a:rPr>
                <a:t>×𝑃×2</a:t>
              </a:r>
              <a:endParaRPr lang="pt-BR" sz="900"/>
            </a:p>
          </xdr:txBody>
        </xdr:sp>
      </mc:Fallback>
    </mc:AlternateContent>
    <xdr:clientData/>
  </xdr:oneCellAnchor>
  <xdr:twoCellAnchor>
    <xdr:from>
      <xdr:col>28</xdr:col>
      <xdr:colOff>5153</xdr:colOff>
      <xdr:row>9</xdr:row>
      <xdr:rowOff>157586</xdr:rowOff>
    </xdr:from>
    <xdr:to>
      <xdr:col>29</xdr:col>
      <xdr:colOff>20024</xdr:colOff>
      <xdr:row>9</xdr:row>
      <xdr:rowOff>298458</xdr:rowOff>
    </xdr:to>
    <mc:AlternateContent xmlns:mc="http://schemas.openxmlformats.org/markup-compatibility/2006" xmlns:a14="http://schemas.microsoft.com/office/drawing/2010/main">
      <mc:Choice Requires="a14">
        <xdr:sp macro="" textlink="">
          <xdr:nvSpPr>
            <xdr:cNvPr id="14" name="CaixaDeTexto 13">
              <a:extLst>
                <a:ext uri="{FF2B5EF4-FFF2-40B4-BE49-F238E27FC236}">
                  <a16:creationId xmlns:a16="http://schemas.microsoft.com/office/drawing/2014/main" id="{8F946E26-B473-42F1-B2F7-50D1D5DA31BC}"/>
                </a:ext>
              </a:extLst>
            </xdr:cNvPr>
            <xdr:cNvSpPr txBox="1">
              <a:spLocks noChangeAspect="1"/>
            </xdr:cNvSpPr>
          </xdr:nvSpPr>
          <xdr:spPr>
            <a:xfrm>
              <a:off x="30567703" y="3675486"/>
              <a:ext cx="117692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𝑆</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𝑃</m:t>
                        </m:r>
                        <m:r>
                          <a:rPr lang="pt-BR" sz="900" b="0" i="1">
                            <a:latin typeface="Cambria Math" panose="02040503050406030204" pitchFamily="18" charset="0"/>
                            <a:ea typeface="Cambria Math" panose="02040503050406030204" pitchFamily="18" charset="0"/>
                          </a:rPr>
                          <m:t>+2,27</m:t>
                        </m:r>
                      </m:e>
                    </m:d>
                    <m:r>
                      <a:rPr lang="pt-BR" sz="900" b="0" i="1">
                        <a:latin typeface="Cambria Math" panose="02040503050406030204" pitchFamily="18" charset="0"/>
                        <a:ea typeface="Cambria Math" panose="02040503050406030204" pitchFamily="18" charset="0"/>
                      </a:rPr>
                      <m:t>×2</m:t>
                    </m:r>
                  </m:oMath>
                </m:oMathPara>
              </a14:m>
              <a:endParaRPr lang="pt-BR" sz="900"/>
            </a:p>
          </xdr:txBody>
        </xdr:sp>
      </mc:Choice>
      <mc:Fallback xmlns="">
        <xdr:sp macro="" textlink="">
          <xdr:nvSpPr>
            <xdr:cNvPr id="14" name="CaixaDeTexto 13">
              <a:extLst>
                <a:ext uri="{FF2B5EF4-FFF2-40B4-BE49-F238E27FC236}">
                  <a16:creationId xmlns:a16="http://schemas.microsoft.com/office/drawing/2014/main" id="{8F946E26-B473-42F1-B2F7-50D1D5DA31BC}"/>
                </a:ext>
              </a:extLst>
            </xdr:cNvPr>
            <xdr:cNvSpPr txBox="1">
              <a:spLocks noChangeAspect="1"/>
            </xdr:cNvSpPr>
          </xdr:nvSpPr>
          <xdr:spPr>
            <a:xfrm>
              <a:off x="30567703" y="3675486"/>
              <a:ext cx="117692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pt-BR" sz="900" b="0" i="0">
                  <a:latin typeface="Cambria Math" panose="02040503050406030204" pitchFamily="18" charset="0"/>
                </a:rPr>
                <a:t>𝑆=𝐴</a:t>
              </a:r>
              <a:r>
                <a:rPr lang="pt-BR" sz="900" b="0" i="0">
                  <a:latin typeface="Cambria Math" panose="02040503050406030204" pitchFamily="18" charset="0"/>
                  <a:ea typeface="Cambria Math" panose="02040503050406030204" pitchFamily="18" charset="0"/>
                </a:rPr>
                <a:t>×(𝑃+2,27)×2</a:t>
              </a:r>
              <a:endParaRPr lang="pt-BR" sz="900"/>
            </a:p>
          </xdr:txBody>
        </xdr:sp>
      </mc:Fallback>
    </mc:AlternateContent>
    <xdr:clientData/>
  </xdr:twoCellAnchor>
  <xdr:oneCellAnchor>
    <xdr:from>
      <xdr:col>29</xdr:col>
      <xdr:colOff>3462</xdr:colOff>
      <xdr:row>9</xdr:row>
      <xdr:rowOff>155895</xdr:rowOff>
    </xdr:from>
    <xdr:ext cx="1098378" cy="140872"/>
    <mc:AlternateContent xmlns:mc="http://schemas.openxmlformats.org/markup-compatibility/2006" xmlns:a14="http://schemas.microsoft.com/office/drawing/2010/main">
      <mc:Choice Requires="a14">
        <xdr:sp macro="" textlink="">
          <xdr:nvSpPr>
            <xdr:cNvPr id="15" name="CaixaDeTexto 14">
              <a:extLst>
                <a:ext uri="{FF2B5EF4-FFF2-40B4-BE49-F238E27FC236}">
                  <a16:creationId xmlns:a16="http://schemas.microsoft.com/office/drawing/2014/main" id="{D3605DD4-682F-44D6-A827-85F8FBD01945}"/>
                </a:ext>
              </a:extLst>
            </xdr:cNvPr>
            <xdr:cNvSpPr txBox="1"/>
          </xdr:nvSpPr>
          <xdr:spPr>
            <a:xfrm>
              <a:off x="31728062" y="3673795"/>
              <a:ext cx="109837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𝑇</m:t>
                    </m:r>
                    <m:r>
                      <a:rPr lang="pt-BR" sz="900" b="0" i="1">
                        <a:latin typeface="Cambria Math" panose="02040503050406030204" pitchFamily="18" charset="0"/>
                      </a:rPr>
                      <m:t>=</m:t>
                    </m:r>
                    <m:d>
                      <m:dPr>
                        <m:ctrlPr>
                          <a:rPr lang="pt-BR" sz="900" b="0" i="1">
                            <a:latin typeface="Cambria Math" panose="02040503050406030204" pitchFamily="18" charset="0"/>
                          </a:rPr>
                        </m:ctrlPr>
                      </m:dPr>
                      <m:e>
                        <m:r>
                          <a:rPr lang="pt-BR" sz="900" b="0" i="1">
                            <a:latin typeface="Cambria Math" panose="02040503050406030204" pitchFamily="18" charset="0"/>
                          </a:rPr>
                          <m:t>𝑅</m:t>
                        </m:r>
                        <m:r>
                          <a:rPr lang="pt-BR" sz="900" b="0" i="1">
                            <a:latin typeface="Cambria Math" panose="02040503050406030204" pitchFamily="18" charset="0"/>
                          </a:rPr>
                          <m:t>+</m:t>
                        </m:r>
                        <m:r>
                          <a:rPr lang="pt-BR" sz="900" b="0" i="1">
                            <a:latin typeface="Cambria Math" panose="02040503050406030204" pitchFamily="18" charset="0"/>
                          </a:rPr>
                          <m:t>𝑆</m:t>
                        </m:r>
                      </m:e>
                    </m:d>
                    <m:r>
                      <a:rPr lang="pt-BR" sz="900" b="0" i="1">
                        <a:latin typeface="Cambria Math" panose="02040503050406030204" pitchFamily="18" charset="0"/>
                        <a:ea typeface="Cambria Math" panose="02040503050406030204" pitchFamily="18" charset="0"/>
                      </a:rPr>
                      <m:t>×0,2318</m:t>
                    </m:r>
                  </m:oMath>
                </m:oMathPara>
              </a14:m>
              <a:endParaRPr lang="pt-BR" sz="900"/>
            </a:p>
          </xdr:txBody>
        </xdr:sp>
      </mc:Choice>
      <mc:Fallback xmlns="">
        <xdr:sp macro="" textlink="">
          <xdr:nvSpPr>
            <xdr:cNvPr id="15" name="CaixaDeTexto 14">
              <a:extLst>
                <a:ext uri="{FF2B5EF4-FFF2-40B4-BE49-F238E27FC236}">
                  <a16:creationId xmlns:a16="http://schemas.microsoft.com/office/drawing/2014/main" id="{D3605DD4-682F-44D6-A827-85F8FBD01945}"/>
                </a:ext>
              </a:extLst>
            </xdr:cNvPr>
            <xdr:cNvSpPr txBox="1"/>
          </xdr:nvSpPr>
          <xdr:spPr>
            <a:xfrm>
              <a:off x="31728062" y="3673795"/>
              <a:ext cx="109837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𝑇=(𝑅+𝑆)</a:t>
              </a:r>
              <a:r>
                <a:rPr lang="pt-BR" sz="900" b="0" i="0">
                  <a:latin typeface="Cambria Math" panose="02040503050406030204" pitchFamily="18" charset="0"/>
                  <a:ea typeface="Cambria Math" panose="02040503050406030204" pitchFamily="18" charset="0"/>
                </a:rPr>
                <a:t>×0,2318</a:t>
              </a:r>
              <a:endParaRPr lang="pt-BR" sz="900"/>
            </a:p>
          </xdr:txBody>
        </xdr:sp>
      </mc:Fallback>
    </mc:AlternateContent>
    <xdr:clientData/>
  </xdr:oneCellAnchor>
  <xdr:oneCellAnchor>
    <xdr:from>
      <xdr:col>30</xdr:col>
      <xdr:colOff>3461</xdr:colOff>
      <xdr:row>9</xdr:row>
      <xdr:rowOff>155895</xdr:rowOff>
    </xdr:from>
    <xdr:ext cx="1128755" cy="140872"/>
    <mc:AlternateContent xmlns:mc="http://schemas.openxmlformats.org/markup-compatibility/2006" xmlns:a14="http://schemas.microsoft.com/office/drawing/2010/main">
      <mc:Choice Requires="a14">
        <xdr:sp macro="" textlink="">
          <xdr:nvSpPr>
            <xdr:cNvPr id="16" name="CaixaDeTexto 15">
              <a:extLst>
                <a:ext uri="{FF2B5EF4-FFF2-40B4-BE49-F238E27FC236}">
                  <a16:creationId xmlns:a16="http://schemas.microsoft.com/office/drawing/2014/main" id="{B45A4F31-8829-492E-BEA5-C7360777DFE6}"/>
                </a:ext>
              </a:extLst>
            </xdr:cNvPr>
            <xdr:cNvSpPr txBox="1"/>
          </xdr:nvSpPr>
          <xdr:spPr>
            <a:xfrm>
              <a:off x="32845661" y="3673795"/>
              <a:ext cx="112875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𝑈</m:t>
                    </m:r>
                    <m:r>
                      <a:rPr lang="pt-BR" sz="900" b="0" i="1">
                        <a:latin typeface="Cambria Math" panose="02040503050406030204" pitchFamily="18" charset="0"/>
                      </a:rPr>
                      <m:t>=</m:t>
                    </m:r>
                    <m:r>
                      <a:rPr lang="pt-BR" sz="900" b="0" i="1">
                        <a:latin typeface="Cambria Math" panose="02040503050406030204" pitchFamily="18" charset="0"/>
                      </a:rPr>
                      <m:t>𝑄</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rPr>
                      <m:t>𝑅</m:t>
                    </m:r>
                    <m:r>
                      <a:rPr lang="pt-BR" sz="900" b="0" i="1">
                        <a:latin typeface="Cambria Math" panose="02040503050406030204" pitchFamily="18" charset="0"/>
                        <a:ea typeface="Cambria Math" panose="02040503050406030204" pitchFamily="18" charset="0"/>
                      </a:rPr>
                      <m:t>×0,23</m:t>
                    </m:r>
                  </m:oMath>
                </m:oMathPara>
              </a14:m>
              <a:endParaRPr lang="pt-BR" sz="900"/>
            </a:p>
          </xdr:txBody>
        </xdr:sp>
      </mc:Choice>
      <mc:Fallback xmlns="">
        <xdr:sp macro="" textlink="">
          <xdr:nvSpPr>
            <xdr:cNvPr id="16" name="CaixaDeTexto 15">
              <a:extLst>
                <a:ext uri="{FF2B5EF4-FFF2-40B4-BE49-F238E27FC236}">
                  <a16:creationId xmlns:a16="http://schemas.microsoft.com/office/drawing/2014/main" id="{B45A4F31-8829-492E-BEA5-C7360777DFE6}"/>
                </a:ext>
              </a:extLst>
            </xdr:cNvPr>
            <xdr:cNvSpPr txBox="1"/>
          </xdr:nvSpPr>
          <xdr:spPr>
            <a:xfrm>
              <a:off x="32845661" y="3673795"/>
              <a:ext cx="112875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900" b="0" i="0">
                  <a:latin typeface="Cambria Math" panose="02040503050406030204" pitchFamily="18" charset="0"/>
                </a:rPr>
                <a:t>𝑈=𝑄</a:t>
              </a:r>
              <a:r>
                <a:rPr lang="pt-BR" sz="900" b="0" i="0">
                  <a:latin typeface="Cambria Math" panose="02040503050406030204" pitchFamily="18" charset="0"/>
                  <a:ea typeface="Cambria Math" panose="02040503050406030204" pitchFamily="18" charset="0"/>
                </a:rPr>
                <a:t>+</a:t>
              </a:r>
              <a:r>
                <a:rPr lang="pt-BR" sz="900" b="0" i="0">
                  <a:latin typeface="Cambria Math" panose="02040503050406030204" pitchFamily="18" charset="0"/>
                </a:rPr>
                <a:t>𝑅</a:t>
              </a:r>
              <a:r>
                <a:rPr lang="pt-BR" sz="900" b="0" i="0">
                  <a:latin typeface="Cambria Math" panose="02040503050406030204" pitchFamily="18" charset="0"/>
                  <a:ea typeface="Cambria Math" panose="02040503050406030204" pitchFamily="18" charset="0"/>
                </a:rPr>
                <a:t>×0,23</a:t>
              </a:r>
              <a:endParaRPr lang="pt-BR" sz="900"/>
            </a:p>
          </xdr:txBody>
        </xdr:sp>
      </mc:Fallback>
    </mc:AlternateContent>
    <xdr:clientData/>
  </xdr:oneCellAnchor>
  <xdr:oneCellAnchor>
    <xdr:from>
      <xdr:col>32</xdr:col>
      <xdr:colOff>0</xdr:colOff>
      <xdr:row>9</xdr:row>
      <xdr:rowOff>15875</xdr:rowOff>
    </xdr:from>
    <xdr:ext cx="1222375" cy="428625"/>
    <mc:AlternateContent xmlns:mc="http://schemas.openxmlformats.org/markup-compatibility/2006" xmlns:a14="http://schemas.microsoft.com/office/drawing/2010/main">
      <mc:Choice Requires="a14">
        <xdr:sp macro="" textlink="">
          <xdr:nvSpPr>
            <xdr:cNvPr id="17" name="CaixaDeTexto 16">
              <a:extLst>
                <a:ext uri="{FF2B5EF4-FFF2-40B4-BE49-F238E27FC236}">
                  <a16:creationId xmlns:a16="http://schemas.microsoft.com/office/drawing/2014/main" id="{35560108-30AD-45FD-A6AB-A96ECF87123B}"/>
                </a:ext>
              </a:extLst>
            </xdr:cNvPr>
            <xdr:cNvSpPr txBox="1"/>
          </xdr:nvSpPr>
          <xdr:spPr>
            <a:xfrm>
              <a:off x="35077400" y="3533775"/>
              <a:ext cx="12223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900" b="0" i="0">
                  <a:latin typeface="+mn-lt"/>
                </a:rPr>
                <a:t>V</a:t>
              </a:r>
              <a14:m>
                <m:oMath xmlns:m="http://schemas.openxmlformats.org/officeDocument/2006/math">
                  <m:r>
                    <a:rPr lang="pt-BR" sz="900" b="0" i="1">
                      <a:latin typeface="Cambria Math" panose="02040503050406030204" pitchFamily="18" charset="0"/>
                    </a:rPr>
                    <m:t>=</m:t>
                  </m:r>
                  <m:r>
                    <a:rPr lang="pt-BR" sz="900" b="0" i="1">
                      <a:latin typeface="Cambria Math" panose="02040503050406030204" pitchFamily="18" charset="0"/>
                    </a:rPr>
                    <m:t>𝑈</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𝐷𝑀𝑇</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±157</m:t>
                      </m:r>
                    </m:e>
                  </m:d>
                </m:oMath>
              </a14:m>
              <a:endParaRPr lang="pt-BR" sz="900"/>
            </a:p>
          </xdr:txBody>
        </xdr:sp>
      </mc:Choice>
      <mc:Fallback xmlns="">
        <xdr:sp macro="" textlink="">
          <xdr:nvSpPr>
            <xdr:cNvPr id="17" name="CaixaDeTexto 16">
              <a:extLst>
                <a:ext uri="{FF2B5EF4-FFF2-40B4-BE49-F238E27FC236}">
                  <a16:creationId xmlns:a16="http://schemas.microsoft.com/office/drawing/2014/main" id="{35560108-30AD-45FD-A6AB-A96ECF87123B}"/>
                </a:ext>
              </a:extLst>
            </xdr:cNvPr>
            <xdr:cNvSpPr txBox="1"/>
          </xdr:nvSpPr>
          <xdr:spPr>
            <a:xfrm>
              <a:off x="35077400" y="3533775"/>
              <a:ext cx="12223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900" b="0" i="0">
                  <a:latin typeface="+mn-lt"/>
                </a:rPr>
                <a:t>V</a:t>
              </a:r>
              <a:r>
                <a:rPr lang="pt-BR" sz="900" b="0" i="0">
                  <a:latin typeface="Cambria Math" panose="02040503050406030204" pitchFamily="18" charset="0"/>
                </a:rPr>
                <a:t>=𝑈</a:t>
              </a:r>
              <a:r>
                <a:rPr lang="pt-BR" sz="900" b="0" i="0">
                  <a:latin typeface="Cambria Math" panose="02040503050406030204" pitchFamily="18" charset="0"/>
                  <a:ea typeface="Cambria Math" panose="02040503050406030204" pitchFamily="18" charset="0"/>
                </a:rPr>
                <a:t>×𝐷𝑀𝑇(±157)</a:t>
              </a:r>
              <a:endParaRPr lang="pt-BR" sz="900"/>
            </a:p>
          </xdr:txBody>
        </xdr:sp>
      </mc:Fallback>
    </mc:AlternateContent>
    <xdr:clientData/>
  </xdr:oneCellAnchor>
  <xdr:oneCellAnchor>
    <xdr:from>
      <xdr:col>31</xdr:col>
      <xdr:colOff>0</xdr:colOff>
      <xdr:row>9</xdr:row>
      <xdr:rowOff>150963</xdr:rowOff>
    </xdr:from>
    <xdr:ext cx="1110651" cy="140179"/>
    <mc:AlternateContent xmlns:mc="http://schemas.openxmlformats.org/markup-compatibility/2006" xmlns:a14="http://schemas.microsoft.com/office/drawing/2010/main">
      <mc:Choice Requires="a14">
        <xdr:sp macro="" textlink="">
          <xdr:nvSpPr>
            <xdr:cNvPr id="18" name="CaixaDeTexto 17">
              <a:extLst>
                <a:ext uri="{FF2B5EF4-FFF2-40B4-BE49-F238E27FC236}">
                  <a16:creationId xmlns:a16="http://schemas.microsoft.com/office/drawing/2014/main" id="{8A74FC0C-0774-4C3A-9E43-7E245129F785}"/>
                </a:ext>
              </a:extLst>
            </xdr:cNvPr>
            <xdr:cNvSpPr txBox="1"/>
          </xdr:nvSpPr>
          <xdr:spPr>
            <a:xfrm>
              <a:off x="33959800" y="3668863"/>
              <a:ext cx="1110651" cy="14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pt-BR" sz="900" b="0" i="0">
                  <a:latin typeface="+mn-lt"/>
                </a:rPr>
                <a:t>V</a:t>
              </a:r>
              <a14:m>
                <m:oMath xmlns:m="http://schemas.openxmlformats.org/officeDocument/2006/math">
                  <m:r>
                    <a:rPr lang="pt-BR" sz="900" b="0" i="1">
                      <a:latin typeface="Cambria Math" panose="02040503050406030204" pitchFamily="18" charset="0"/>
                    </a:rPr>
                    <m:t>=</m:t>
                  </m:r>
                  <m:r>
                    <a:rPr lang="pt-BR" sz="900" b="0" i="1">
                      <a:latin typeface="Cambria Math" panose="02040503050406030204" pitchFamily="18" charset="0"/>
                    </a:rPr>
                    <m:t>𝑈</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𝐷𝑀𝑇</m:t>
                  </m:r>
                  <m:r>
                    <a:rPr lang="pt-BR" sz="900" b="0" i="1">
                      <a:latin typeface="Cambria Math" panose="02040503050406030204" pitchFamily="18" charset="0"/>
                      <a:ea typeface="Cambria Math" panose="02040503050406030204" pitchFamily="18" charset="0"/>
                    </a:rPr>
                    <m:t>(30)</m:t>
                  </m:r>
                </m:oMath>
              </a14:m>
              <a:endParaRPr lang="pt-BR" sz="900"/>
            </a:p>
          </xdr:txBody>
        </xdr:sp>
      </mc:Choice>
      <mc:Fallback xmlns="">
        <xdr:sp macro="" textlink="">
          <xdr:nvSpPr>
            <xdr:cNvPr id="18" name="CaixaDeTexto 17">
              <a:extLst>
                <a:ext uri="{FF2B5EF4-FFF2-40B4-BE49-F238E27FC236}">
                  <a16:creationId xmlns:a16="http://schemas.microsoft.com/office/drawing/2014/main" id="{8A74FC0C-0774-4C3A-9E43-7E245129F785}"/>
                </a:ext>
              </a:extLst>
            </xdr:cNvPr>
            <xdr:cNvSpPr txBox="1"/>
          </xdr:nvSpPr>
          <xdr:spPr>
            <a:xfrm>
              <a:off x="33959800" y="3668863"/>
              <a:ext cx="1110651" cy="14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pt-BR" sz="900" b="0" i="0">
                  <a:latin typeface="+mn-lt"/>
                </a:rPr>
                <a:t>V</a:t>
              </a:r>
              <a:r>
                <a:rPr lang="pt-BR" sz="900" b="0" i="0">
                  <a:latin typeface="Cambria Math" panose="02040503050406030204" pitchFamily="18" charset="0"/>
                </a:rPr>
                <a:t>=𝑈</a:t>
              </a:r>
              <a:r>
                <a:rPr lang="pt-BR" sz="900" b="0" i="0">
                  <a:latin typeface="Cambria Math" panose="02040503050406030204" pitchFamily="18" charset="0"/>
                  <a:ea typeface="Cambria Math" panose="02040503050406030204" pitchFamily="18" charset="0"/>
                </a:rPr>
                <a:t>×𝐷𝑀𝑇(30)</a:t>
              </a:r>
              <a:endParaRPr lang="pt-BR" sz="900"/>
            </a:p>
          </xdr:txBody>
        </xdr:sp>
      </mc:Fallback>
    </mc:AlternateContent>
    <xdr:clientData/>
  </xdr:oneCellAnchor>
  <xdr:oneCellAnchor>
    <xdr:from>
      <xdr:col>18</xdr:col>
      <xdr:colOff>129055</xdr:colOff>
      <xdr:row>9</xdr:row>
      <xdr:rowOff>146881</xdr:rowOff>
    </xdr:from>
    <xdr:ext cx="938270" cy="140872"/>
    <mc:AlternateContent xmlns:mc="http://schemas.openxmlformats.org/markup-compatibility/2006" xmlns:a14="http://schemas.microsoft.com/office/drawing/2010/main">
      <mc:Choice Requires="a14">
        <xdr:sp macro="" textlink="">
          <xdr:nvSpPr>
            <xdr:cNvPr id="19" name="CaixaDeTexto 18">
              <a:extLst>
                <a:ext uri="{FF2B5EF4-FFF2-40B4-BE49-F238E27FC236}">
                  <a16:creationId xmlns:a16="http://schemas.microsoft.com/office/drawing/2014/main" id="{2989B79E-CAAB-42AD-84F9-443912EC4A55}"/>
                </a:ext>
              </a:extLst>
            </xdr:cNvPr>
            <xdr:cNvSpPr txBox="1"/>
          </xdr:nvSpPr>
          <xdr:spPr>
            <a:xfrm>
              <a:off x="18036055" y="3664781"/>
              <a:ext cx="93827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900" b="0" i="1">
                            <a:latin typeface="Cambria Math" panose="02040503050406030204" pitchFamily="18" charset="0"/>
                          </a:rPr>
                        </m:ctrlPr>
                      </m:sSubPr>
                      <m:e>
                        <m:r>
                          <a:rPr lang="pt-BR" sz="900" b="0" i="1">
                            <a:latin typeface="Cambria Math" panose="02040503050406030204" pitchFamily="18" charset="0"/>
                          </a:rPr>
                          <m:t>𝐽</m:t>
                        </m:r>
                      </m:e>
                      <m:sub>
                        <m:r>
                          <a:rPr lang="pt-BR" sz="900" b="0" i="1">
                            <a:latin typeface="Cambria Math" panose="02040503050406030204" pitchFamily="18" charset="0"/>
                          </a:rPr>
                          <m:t>1</m:t>
                        </m:r>
                      </m:sub>
                    </m:sSub>
                    <m:r>
                      <a:rPr lang="pt-BR" sz="900" b="0" i="1">
                        <a:latin typeface="Cambria Math" panose="02040503050406030204" pitchFamily="18" charset="0"/>
                      </a:rPr>
                      <m:t>=</m:t>
                    </m:r>
                    <m:r>
                      <a:rPr lang="pt-BR" sz="900" b="0" i="1">
                        <a:latin typeface="Cambria Math" panose="02040503050406030204" pitchFamily="18" charset="0"/>
                      </a:rPr>
                      <m:t>𝐼</m:t>
                    </m:r>
                    <m:r>
                      <a:rPr lang="pt-BR" sz="900" b="0" i="1">
                        <a:latin typeface="Cambria Math" panose="02040503050406030204" pitchFamily="18" charset="0"/>
                        <a:ea typeface="Cambria Math" panose="02040503050406030204" pitchFamily="18" charset="0"/>
                      </a:rPr>
                      <m:t>×1,30×</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±2</m:t>
                        </m:r>
                      </m:e>
                    </m:d>
                  </m:oMath>
                </m:oMathPara>
              </a14:m>
              <a:endParaRPr lang="pt-BR" sz="900"/>
            </a:p>
          </xdr:txBody>
        </xdr:sp>
      </mc:Choice>
      <mc:Fallback xmlns="">
        <xdr:sp macro="" textlink="">
          <xdr:nvSpPr>
            <xdr:cNvPr id="19" name="CaixaDeTexto 18">
              <a:extLst>
                <a:ext uri="{FF2B5EF4-FFF2-40B4-BE49-F238E27FC236}">
                  <a16:creationId xmlns:a16="http://schemas.microsoft.com/office/drawing/2014/main" id="{2989B79E-CAAB-42AD-84F9-443912EC4A55}"/>
                </a:ext>
              </a:extLst>
            </xdr:cNvPr>
            <xdr:cNvSpPr txBox="1"/>
          </xdr:nvSpPr>
          <xdr:spPr>
            <a:xfrm>
              <a:off x="18036055" y="3664781"/>
              <a:ext cx="93827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𝐽_1=𝐼</a:t>
              </a:r>
              <a:r>
                <a:rPr lang="pt-BR" sz="900" b="0" i="0">
                  <a:latin typeface="Cambria Math" panose="02040503050406030204" pitchFamily="18" charset="0"/>
                  <a:ea typeface="Cambria Math" panose="02040503050406030204" pitchFamily="18" charset="0"/>
                </a:rPr>
                <a:t>×1,30×(±2)</a:t>
              </a:r>
              <a:endParaRPr lang="pt-BR" sz="900"/>
            </a:p>
          </xdr:txBody>
        </xdr:sp>
      </mc:Fallback>
    </mc:AlternateContent>
    <xdr:clientData/>
  </xdr:oneCellAnchor>
  <xdr:oneCellAnchor>
    <xdr:from>
      <xdr:col>13</xdr:col>
      <xdr:colOff>15544</xdr:colOff>
      <xdr:row>9</xdr:row>
      <xdr:rowOff>22225</xdr:rowOff>
    </xdr:from>
    <xdr:ext cx="1952956" cy="412749"/>
    <mc:AlternateContent xmlns:mc="http://schemas.openxmlformats.org/markup-compatibility/2006" xmlns:a14="http://schemas.microsoft.com/office/drawing/2010/main">
      <mc:Choice Requires="a14">
        <xdr:sp macro="" textlink="">
          <xdr:nvSpPr>
            <xdr:cNvPr id="20" name="CaixaDeTexto 19">
              <a:extLst>
                <a:ext uri="{FF2B5EF4-FFF2-40B4-BE49-F238E27FC236}">
                  <a16:creationId xmlns:a16="http://schemas.microsoft.com/office/drawing/2014/main" id="{BAD8F5EA-587B-4D13-BE70-87C99890BDA2}"/>
                </a:ext>
              </a:extLst>
            </xdr:cNvPr>
            <xdr:cNvSpPr txBox="1"/>
          </xdr:nvSpPr>
          <xdr:spPr>
            <a:xfrm>
              <a:off x="10912144" y="3540125"/>
              <a:ext cx="1952956" cy="412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𝐹</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𝐷</m:t>
                        </m:r>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ea typeface="Cambria Math" panose="02040503050406030204" pitchFamily="18" charset="0"/>
                              </a:rPr>
                            </m:ctrlPr>
                          </m:dPr>
                          <m:e>
                            <m:f>
                              <m:fPr>
                                <m:ctrlPr>
                                  <a:rPr lang="pt-BR" sz="900" b="0" i="1">
                                    <a:latin typeface="Cambria Math" panose="02040503050406030204" pitchFamily="18" charset="0"/>
                                    <a:ea typeface="Cambria Math" panose="02040503050406030204" pitchFamily="18" charset="0"/>
                                  </a:rPr>
                                </m:ctrlPr>
                              </m:fPr>
                              <m:num>
                                <m:sSub>
                                  <m:sSubPr>
                                    <m:ctrlPr>
                                      <a:rPr lang="pt-BR" sz="900" b="0" i="1">
                                        <a:latin typeface="Cambria Math" panose="02040503050406030204" pitchFamily="18" charset="0"/>
                                        <a:ea typeface="Cambria Math" panose="02040503050406030204" pitchFamily="18" charset="0"/>
                                      </a:rPr>
                                    </m:ctrlPr>
                                  </m:sSubPr>
                                  <m:e>
                                    <m:r>
                                      <a:rPr lang="pt-BR" sz="900" b="0" i="1">
                                        <a:latin typeface="Cambria Math" panose="02040503050406030204" pitchFamily="18" charset="0"/>
                                        <a:ea typeface="Cambria Math" panose="02040503050406030204" pitchFamily="18" charset="0"/>
                                      </a:rPr>
                                      <m:t>𝐶</m:t>
                                    </m:r>
                                  </m:e>
                                  <m:sub>
                                    <m:r>
                                      <a:rPr lang="pt-BR" sz="900" b="0" i="1">
                                        <a:latin typeface="Cambria Math" panose="02040503050406030204" pitchFamily="18" charset="0"/>
                                        <a:ea typeface="Cambria Math" panose="02040503050406030204" pitchFamily="18" charset="0"/>
                                      </a:rPr>
                                      <m:t>4</m:t>
                                    </m:r>
                                  </m:sub>
                                </m:sSub>
                              </m:num>
                              <m:den>
                                <m:r>
                                  <a:rPr lang="pt-BR" sz="900" b="0" i="1">
                                    <a:latin typeface="Cambria Math" panose="02040503050406030204" pitchFamily="18" charset="0"/>
                                    <a:ea typeface="Cambria Math" panose="02040503050406030204" pitchFamily="18" charset="0"/>
                                  </a:rPr>
                                  <m:t>2</m:t>
                                </m:r>
                              </m:den>
                            </m:f>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𝑁</m:t>
                            </m:r>
                          </m:e>
                        </m:d>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𝐸</m:t>
                        </m:r>
                        <m:r>
                          <a:rPr lang="pt-BR" sz="900" b="0" i="1">
                            <a:latin typeface="Cambria Math" panose="02040503050406030204" pitchFamily="18" charset="0"/>
                            <a:ea typeface="Cambria Math" panose="02040503050406030204" pitchFamily="18" charset="0"/>
                          </a:rPr>
                          <m:t>∙</m:t>
                        </m:r>
                        <m:d>
                          <m:dPr>
                            <m:ctrlPr>
                              <a:rPr lang="pt-BR" sz="900" b="0" i="1">
                                <a:latin typeface="Cambria Math" panose="02040503050406030204" pitchFamily="18" charset="0"/>
                                <a:ea typeface="Cambria Math" panose="02040503050406030204" pitchFamily="18" charset="0"/>
                              </a:rPr>
                            </m:ctrlPr>
                          </m:dPr>
                          <m:e>
                            <m:sSub>
                              <m:sSubPr>
                                <m:ctrlPr>
                                  <a:rPr lang="pt-BR" sz="900" b="0" i="1">
                                    <a:latin typeface="Cambria Math" panose="02040503050406030204" pitchFamily="18" charset="0"/>
                                    <a:ea typeface="Cambria Math" panose="02040503050406030204" pitchFamily="18" charset="0"/>
                                  </a:rPr>
                                </m:ctrlPr>
                              </m:sSubPr>
                              <m:e>
                                <m:r>
                                  <a:rPr lang="pt-BR" sz="900" b="0" i="1">
                                    <a:latin typeface="Cambria Math" panose="02040503050406030204" pitchFamily="18" charset="0"/>
                                    <a:ea typeface="Cambria Math" panose="02040503050406030204" pitchFamily="18" charset="0"/>
                                  </a:rPr>
                                  <m:t>𝐶</m:t>
                                </m:r>
                              </m:e>
                              <m:sub>
                                <m:r>
                                  <a:rPr lang="pt-BR" sz="900" b="0" i="1">
                                    <a:latin typeface="Cambria Math" panose="02040503050406030204" pitchFamily="18" charset="0"/>
                                    <a:ea typeface="Cambria Math" panose="02040503050406030204" pitchFamily="18" charset="0"/>
                                  </a:rPr>
                                  <m:t>2</m:t>
                                </m:r>
                              </m:sub>
                            </m:sSub>
                            <m:r>
                              <a:rPr lang="pt-BR" sz="900" b="0" i="1">
                                <a:latin typeface="Cambria Math" panose="02040503050406030204" pitchFamily="18" charset="0"/>
                                <a:ea typeface="Cambria Math" panose="02040503050406030204" pitchFamily="18" charset="0"/>
                              </a:rPr>
                              <m:t>−</m:t>
                            </m:r>
                            <m:f>
                              <m:fPr>
                                <m:ctrlPr>
                                  <a:rPr lang="pt-BR" sz="900" b="0" i="1">
                                    <a:latin typeface="Cambria Math" panose="02040503050406030204" pitchFamily="18" charset="0"/>
                                    <a:ea typeface="Cambria Math" panose="02040503050406030204" pitchFamily="18" charset="0"/>
                                  </a:rPr>
                                </m:ctrlPr>
                              </m:fPr>
                              <m:num>
                                <m:r>
                                  <a:rPr lang="pt-BR" sz="900" b="0" i="1">
                                    <a:latin typeface="Cambria Math" panose="02040503050406030204" pitchFamily="18" charset="0"/>
                                    <a:ea typeface="Cambria Math" panose="02040503050406030204" pitchFamily="18" charset="0"/>
                                  </a:rPr>
                                  <m:t>𝐵</m:t>
                                </m:r>
                              </m:num>
                              <m:den>
                                <m:r>
                                  <a:rPr lang="pt-BR" sz="900" b="0" i="1">
                                    <a:latin typeface="Cambria Math" panose="02040503050406030204" pitchFamily="18" charset="0"/>
                                    <a:ea typeface="Cambria Math" panose="02040503050406030204" pitchFamily="18" charset="0"/>
                                  </a:rPr>
                                  <m:t>2</m:t>
                                </m:r>
                              </m:den>
                            </m:f>
                          </m:e>
                        </m:d>
                      </m:e>
                    </m:d>
                  </m:oMath>
                </m:oMathPara>
              </a14:m>
              <a:endParaRPr lang="pt-BR" sz="900"/>
            </a:p>
          </xdr:txBody>
        </xdr:sp>
      </mc:Choice>
      <mc:Fallback xmlns="">
        <xdr:sp macro="" textlink="">
          <xdr:nvSpPr>
            <xdr:cNvPr id="20" name="CaixaDeTexto 19">
              <a:extLst>
                <a:ext uri="{FF2B5EF4-FFF2-40B4-BE49-F238E27FC236}">
                  <a16:creationId xmlns:a16="http://schemas.microsoft.com/office/drawing/2014/main" id="{BAD8F5EA-587B-4D13-BE70-87C99890BDA2}"/>
                </a:ext>
              </a:extLst>
            </xdr:cNvPr>
            <xdr:cNvSpPr txBox="1"/>
          </xdr:nvSpPr>
          <xdr:spPr>
            <a:xfrm>
              <a:off x="10912144" y="3540125"/>
              <a:ext cx="1952956" cy="412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pt-BR" sz="900" b="0" i="0">
                  <a:latin typeface="Cambria Math" panose="02040503050406030204" pitchFamily="18" charset="0"/>
                </a:rPr>
                <a:t>𝐹=𝐴</a:t>
              </a:r>
              <a:r>
                <a:rPr lang="pt-BR" sz="900" b="0" i="0">
                  <a:latin typeface="Cambria Math" panose="02040503050406030204" pitchFamily="18" charset="0"/>
                  <a:ea typeface="Cambria Math" panose="02040503050406030204" pitchFamily="18" charset="0"/>
                </a:rPr>
                <a:t>∙(𝐷∙(𝐶_4/2+𝑁)+𝐸∙(𝐶_2−𝐵/2))</a:t>
              </a:r>
              <a:endParaRPr lang="pt-BR" sz="900"/>
            </a:p>
          </xdr:txBody>
        </xdr:sp>
      </mc:Fallback>
    </mc:AlternateContent>
    <xdr:clientData/>
  </xdr:oneCellAnchor>
  <xdr:oneCellAnchor>
    <xdr:from>
      <xdr:col>21</xdr:col>
      <xdr:colOff>129055</xdr:colOff>
      <xdr:row>9</xdr:row>
      <xdr:rowOff>146881</xdr:rowOff>
    </xdr:from>
    <xdr:ext cx="938270" cy="140872"/>
    <mc:AlternateContent xmlns:mc="http://schemas.openxmlformats.org/markup-compatibility/2006" xmlns:a14="http://schemas.microsoft.com/office/drawing/2010/main">
      <mc:Choice Requires="a14">
        <xdr:sp macro="" textlink="">
          <xdr:nvSpPr>
            <xdr:cNvPr id="21" name="CaixaDeTexto 20">
              <a:extLst>
                <a:ext uri="{FF2B5EF4-FFF2-40B4-BE49-F238E27FC236}">
                  <a16:creationId xmlns:a16="http://schemas.microsoft.com/office/drawing/2014/main" id="{18F60C39-0D25-4293-97D9-38140C1A2FC1}"/>
                </a:ext>
              </a:extLst>
            </xdr:cNvPr>
            <xdr:cNvSpPr txBox="1"/>
          </xdr:nvSpPr>
          <xdr:spPr>
            <a:xfrm>
              <a:off x="22195305" y="3664781"/>
              <a:ext cx="93827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900" b="0" i="1">
                            <a:latin typeface="Cambria Math" panose="02040503050406030204" pitchFamily="18" charset="0"/>
                          </a:rPr>
                        </m:ctrlPr>
                      </m:sSubPr>
                      <m:e>
                        <m:r>
                          <a:rPr lang="pt-BR" sz="900" b="0" i="1">
                            <a:latin typeface="Cambria Math" panose="02040503050406030204" pitchFamily="18" charset="0"/>
                          </a:rPr>
                          <m:t>𝐽</m:t>
                        </m:r>
                      </m:e>
                      <m:sub>
                        <m:r>
                          <a:rPr lang="pt-BR" sz="900" b="0" i="1">
                            <a:latin typeface="Cambria Math" panose="02040503050406030204" pitchFamily="18" charset="0"/>
                          </a:rPr>
                          <m:t>1</m:t>
                        </m:r>
                      </m:sub>
                    </m:sSub>
                    <m:r>
                      <a:rPr lang="pt-BR" sz="900" b="0" i="1">
                        <a:latin typeface="Cambria Math" panose="02040503050406030204" pitchFamily="18" charset="0"/>
                      </a:rPr>
                      <m:t>=</m:t>
                    </m:r>
                    <m:r>
                      <a:rPr lang="pt-BR" sz="900" b="0" i="1">
                        <a:latin typeface="Cambria Math" panose="02040503050406030204" pitchFamily="18" charset="0"/>
                      </a:rPr>
                      <m:t>𝐼</m:t>
                    </m:r>
                    <m:r>
                      <a:rPr lang="pt-BR" sz="900" b="0" i="1">
                        <a:latin typeface="Cambria Math" panose="02040503050406030204" pitchFamily="18" charset="0"/>
                        <a:ea typeface="Cambria Math" panose="02040503050406030204" pitchFamily="18" charset="0"/>
                      </a:rPr>
                      <m:t>×1,30×</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±2</m:t>
                        </m:r>
                      </m:e>
                    </m:d>
                  </m:oMath>
                </m:oMathPara>
              </a14:m>
              <a:endParaRPr lang="pt-BR" sz="900"/>
            </a:p>
          </xdr:txBody>
        </xdr:sp>
      </mc:Choice>
      <mc:Fallback xmlns="">
        <xdr:sp macro="" textlink="">
          <xdr:nvSpPr>
            <xdr:cNvPr id="21" name="CaixaDeTexto 20">
              <a:extLst>
                <a:ext uri="{FF2B5EF4-FFF2-40B4-BE49-F238E27FC236}">
                  <a16:creationId xmlns:a16="http://schemas.microsoft.com/office/drawing/2014/main" id="{18F60C39-0D25-4293-97D9-38140C1A2FC1}"/>
                </a:ext>
              </a:extLst>
            </xdr:cNvPr>
            <xdr:cNvSpPr txBox="1"/>
          </xdr:nvSpPr>
          <xdr:spPr>
            <a:xfrm>
              <a:off x="22195305" y="3664781"/>
              <a:ext cx="93827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𝐽_1=𝐼</a:t>
              </a:r>
              <a:r>
                <a:rPr lang="pt-BR" sz="900" b="0" i="0">
                  <a:latin typeface="Cambria Math" panose="02040503050406030204" pitchFamily="18" charset="0"/>
                  <a:ea typeface="Cambria Math" panose="02040503050406030204" pitchFamily="18" charset="0"/>
                </a:rPr>
                <a:t>×1,30×(±2)</a:t>
              </a:r>
              <a:endParaRPr lang="pt-BR" sz="900"/>
            </a:p>
          </xdr:txBody>
        </xdr:sp>
      </mc:Fallback>
    </mc:AlternateContent>
    <xdr:clientData/>
  </xdr:oneCellAnchor>
  <xdr:oneCellAnchor>
    <xdr:from>
      <xdr:col>33</xdr:col>
      <xdr:colOff>0</xdr:colOff>
      <xdr:row>9</xdr:row>
      <xdr:rowOff>15875</xdr:rowOff>
    </xdr:from>
    <xdr:ext cx="1222375" cy="428625"/>
    <mc:AlternateContent xmlns:mc="http://schemas.openxmlformats.org/markup-compatibility/2006" xmlns:a14="http://schemas.microsoft.com/office/drawing/2010/main">
      <mc:Choice Requires="a14">
        <xdr:sp macro="" textlink="">
          <xdr:nvSpPr>
            <xdr:cNvPr id="22" name="CaixaDeTexto 21">
              <a:extLst>
                <a:ext uri="{FF2B5EF4-FFF2-40B4-BE49-F238E27FC236}">
                  <a16:creationId xmlns:a16="http://schemas.microsoft.com/office/drawing/2014/main" id="{B539CF74-CB47-4D35-8A84-31089FE0787D}"/>
                </a:ext>
              </a:extLst>
            </xdr:cNvPr>
            <xdr:cNvSpPr txBox="1"/>
          </xdr:nvSpPr>
          <xdr:spPr>
            <a:xfrm>
              <a:off x="36195000" y="3533775"/>
              <a:ext cx="12223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900" b="0" i="0">
                  <a:latin typeface="+mn-lt"/>
                </a:rPr>
                <a:t>V</a:t>
              </a:r>
              <a14:m>
                <m:oMath xmlns:m="http://schemas.openxmlformats.org/officeDocument/2006/math">
                  <m:r>
                    <a:rPr lang="pt-BR" sz="900" b="0" i="1">
                      <a:latin typeface="Cambria Math" panose="02040503050406030204" pitchFamily="18" charset="0"/>
                    </a:rPr>
                    <m:t>=</m:t>
                  </m:r>
                  <m:r>
                    <a:rPr lang="pt-BR" sz="900" b="0" i="1">
                      <a:latin typeface="Cambria Math" panose="02040503050406030204" pitchFamily="18" charset="0"/>
                    </a:rPr>
                    <m:t>𝑈</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𝐷𝑀𝑇</m:t>
                  </m:r>
                  <m:d>
                    <m:dPr>
                      <m:ctrlPr>
                        <a:rPr lang="pt-BR" sz="900" b="0" i="1">
                          <a:latin typeface="Cambria Math" panose="02040503050406030204" pitchFamily="18" charset="0"/>
                          <a:ea typeface="Cambria Math" panose="02040503050406030204" pitchFamily="18" charset="0"/>
                        </a:rPr>
                      </m:ctrlPr>
                    </m:dPr>
                    <m:e>
                      <m:r>
                        <a:rPr lang="pt-BR" sz="900" b="0" i="1">
                          <a:latin typeface="Cambria Math" panose="02040503050406030204" pitchFamily="18" charset="0"/>
                          <a:ea typeface="Cambria Math" panose="02040503050406030204" pitchFamily="18" charset="0"/>
                        </a:rPr>
                        <m:t>±157</m:t>
                      </m:r>
                    </m:e>
                  </m:d>
                </m:oMath>
              </a14:m>
              <a:endParaRPr lang="pt-BR" sz="900"/>
            </a:p>
          </xdr:txBody>
        </xdr:sp>
      </mc:Choice>
      <mc:Fallback xmlns="">
        <xdr:sp macro="" textlink="">
          <xdr:nvSpPr>
            <xdr:cNvPr id="22" name="CaixaDeTexto 21">
              <a:extLst>
                <a:ext uri="{FF2B5EF4-FFF2-40B4-BE49-F238E27FC236}">
                  <a16:creationId xmlns:a16="http://schemas.microsoft.com/office/drawing/2014/main" id="{B539CF74-CB47-4D35-8A84-31089FE0787D}"/>
                </a:ext>
              </a:extLst>
            </xdr:cNvPr>
            <xdr:cNvSpPr txBox="1"/>
          </xdr:nvSpPr>
          <xdr:spPr>
            <a:xfrm>
              <a:off x="36195000" y="3533775"/>
              <a:ext cx="122237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lang="pt-BR" sz="900" b="0" i="0">
                  <a:latin typeface="+mn-lt"/>
                </a:rPr>
                <a:t>V</a:t>
              </a:r>
              <a:r>
                <a:rPr lang="pt-BR" sz="900" b="0" i="0">
                  <a:latin typeface="Cambria Math" panose="02040503050406030204" pitchFamily="18" charset="0"/>
                </a:rPr>
                <a:t>=𝑈</a:t>
              </a:r>
              <a:r>
                <a:rPr lang="pt-BR" sz="900" b="0" i="0">
                  <a:latin typeface="Cambria Math" panose="02040503050406030204" pitchFamily="18" charset="0"/>
                  <a:ea typeface="Cambria Math" panose="02040503050406030204" pitchFamily="18" charset="0"/>
                </a:rPr>
                <a:t>×𝐷𝑀𝑇(±157)</a:t>
              </a:r>
              <a:endParaRPr lang="pt-BR" sz="9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1485900</xdr:colOff>
      <xdr:row>1</xdr:row>
      <xdr:rowOff>38099</xdr:rowOff>
    </xdr:from>
    <xdr:to>
      <xdr:col>2</xdr:col>
      <xdr:colOff>342900</xdr:colOff>
      <xdr:row>6</xdr:row>
      <xdr:rowOff>36650</xdr:rowOff>
    </xdr:to>
    <xdr:pic>
      <xdr:nvPicPr>
        <xdr:cNvPr id="3" name="Imagem 1">
          <a:extLst>
            <a:ext uri="{FF2B5EF4-FFF2-40B4-BE49-F238E27FC236}">
              <a16:creationId xmlns:a16="http://schemas.microsoft.com/office/drawing/2014/main" id="{C8053C1D-17D6-49E5-99D1-EBE7BC24FD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2743200" y="533399"/>
          <a:ext cx="2628900" cy="2475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171449</xdr:colOff>
      <xdr:row>0</xdr:row>
      <xdr:rowOff>171450</xdr:rowOff>
    </xdr:from>
    <xdr:to>
      <xdr:col>2</xdr:col>
      <xdr:colOff>9524</xdr:colOff>
      <xdr:row>2</xdr:row>
      <xdr:rowOff>250777</xdr:rowOff>
    </xdr:to>
    <xdr:pic>
      <xdr:nvPicPr>
        <xdr:cNvPr id="2" name="Imagem 1">
          <a:extLst>
            <a:ext uri="{FF2B5EF4-FFF2-40B4-BE49-F238E27FC236}">
              <a16:creationId xmlns:a16="http://schemas.microsoft.com/office/drawing/2014/main" id="{0E6D04DE-7AF4-4DB6-AF8A-27A63279BA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200024" y="171450"/>
          <a:ext cx="695325" cy="660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339148</xdr:colOff>
      <xdr:row>0</xdr:row>
      <xdr:rowOff>85149</xdr:rowOff>
    </xdr:from>
    <xdr:to>
      <xdr:col>2</xdr:col>
      <xdr:colOff>707930</xdr:colOff>
      <xdr:row>0</xdr:row>
      <xdr:rowOff>1003013</xdr:rowOff>
    </xdr:to>
    <xdr:pic>
      <xdr:nvPicPr>
        <xdr:cNvPr id="2" name="Imagem 1">
          <a:extLst>
            <a:ext uri="{FF2B5EF4-FFF2-40B4-BE49-F238E27FC236}">
              <a16:creationId xmlns:a16="http://schemas.microsoft.com/office/drawing/2014/main" id="{D177411D-7BD9-42EA-804A-7E21D913CD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720148" y="85149"/>
          <a:ext cx="972032" cy="917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648603</xdr:colOff>
      <xdr:row>0</xdr:row>
      <xdr:rowOff>40821</xdr:rowOff>
    </xdr:from>
    <xdr:to>
      <xdr:col>0</xdr:col>
      <xdr:colOff>1360710</xdr:colOff>
      <xdr:row>0</xdr:row>
      <xdr:rowOff>707571</xdr:rowOff>
    </xdr:to>
    <xdr:pic>
      <xdr:nvPicPr>
        <xdr:cNvPr id="2" name="Imagem 2" descr="Brazão UEL.jpg">
          <a:extLst>
            <a:ext uri="{FF2B5EF4-FFF2-40B4-BE49-F238E27FC236}">
              <a16:creationId xmlns:a16="http://schemas.microsoft.com/office/drawing/2014/main" id="{A6F857E6-0D22-4515-B90E-2B7ABAF8F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03" y="40821"/>
          <a:ext cx="712107"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215660</xdr:colOff>
      <xdr:row>8</xdr:row>
      <xdr:rowOff>53916</xdr:rowOff>
    </xdr:from>
    <xdr:ext cx="1073948" cy="140872"/>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D1DD896-9CA6-4E01-849F-9FFBE5CC9628}"/>
                </a:ext>
              </a:extLst>
            </xdr:cNvPr>
            <xdr:cNvSpPr txBox="1"/>
          </xdr:nvSpPr>
          <xdr:spPr>
            <a:xfrm>
              <a:off x="12515610" y="2282766"/>
              <a:ext cx="107394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𝐻</m:t>
                    </m:r>
                    <m:r>
                      <a:rPr lang="pt-BR" sz="900" b="0" i="1">
                        <a:latin typeface="Cambria Math" panose="02040503050406030204" pitchFamily="18" charset="0"/>
                      </a:rPr>
                      <m:t>=</m:t>
                    </m:r>
                    <m:r>
                      <a:rPr lang="pt-BR" sz="900" b="0" i="1">
                        <a:latin typeface="Cambria Math" panose="02040503050406030204" pitchFamily="18" charset="0"/>
                      </a:rPr>
                      <m:t>𝐺</m:t>
                    </m:r>
                    <m:r>
                      <a:rPr lang="pt-BR" sz="900" b="0" i="1">
                        <a:latin typeface="Cambria Math" panose="02040503050406030204" pitchFamily="18" charset="0"/>
                        <a:ea typeface="Cambria Math" panose="02040503050406030204" pitchFamily="18" charset="0"/>
                      </a:rPr>
                      <m:t>×1,30×</m:t>
                    </m:r>
                    <m:r>
                      <a:rPr lang="pt-BR" sz="900" b="0" i="1">
                        <a:latin typeface="Cambria Math" panose="02040503050406030204" pitchFamily="18" charset="0"/>
                        <a:ea typeface="Cambria Math" panose="02040503050406030204" pitchFamily="18" charset="0"/>
                      </a:rPr>
                      <m:t>𝐷𝑀𝑇</m:t>
                    </m:r>
                  </m:oMath>
                </m:oMathPara>
              </a14:m>
              <a:endParaRPr lang="pt-BR" sz="900"/>
            </a:p>
          </xdr:txBody>
        </xdr:sp>
      </mc:Choice>
      <mc:Fallback xmlns="">
        <xdr:sp macro="" textlink="">
          <xdr:nvSpPr>
            <xdr:cNvPr id="3" name="CaixaDeTexto 2">
              <a:extLst>
                <a:ext uri="{FF2B5EF4-FFF2-40B4-BE49-F238E27FC236}">
                  <a16:creationId xmlns:a16="http://schemas.microsoft.com/office/drawing/2014/main" id="{BD1DD896-9CA6-4E01-849F-9FFBE5CC9628}"/>
                </a:ext>
              </a:extLst>
            </xdr:cNvPr>
            <xdr:cNvSpPr txBox="1"/>
          </xdr:nvSpPr>
          <xdr:spPr>
            <a:xfrm>
              <a:off x="12515610" y="2282766"/>
              <a:ext cx="107394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𝐻=𝐺</a:t>
              </a:r>
              <a:r>
                <a:rPr lang="pt-BR" sz="900" b="0" i="0">
                  <a:latin typeface="Cambria Math" panose="02040503050406030204" pitchFamily="18" charset="0"/>
                  <a:ea typeface="Cambria Math" panose="02040503050406030204" pitchFamily="18" charset="0"/>
                </a:rPr>
                <a:t>×1,30×𝐷𝑀𝑇</a:t>
              </a:r>
              <a:endParaRPr lang="pt-BR" sz="900"/>
            </a:p>
          </xdr:txBody>
        </xdr:sp>
      </mc:Fallback>
    </mc:AlternateContent>
    <xdr:clientData/>
  </xdr:oneCellAnchor>
  <xdr:oneCellAnchor>
    <xdr:from>
      <xdr:col>10</xdr:col>
      <xdr:colOff>227880</xdr:colOff>
      <xdr:row>8</xdr:row>
      <xdr:rowOff>55354</xdr:rowOff>
    </xdr:from>
    <xdr:ext cx="543995" cy="140872"/>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1365C21C-864B-4F52-A391-4F3EBF77B7B4}"/>
                </a:ext>
              </a:extLst>
            </xdr:cNvPr>
            <xdr:cNvSpPr txBox="1"/>
          </xdr:nvSpPr>
          <xdr:spPr>
            <a:xfrm>
              <a:off x="9378230" y="2284204"/>
              <a:ext cx="54399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𝐹</m:t>
                    </m:r>
                    <m:r>
                      <a:rPr lang="pt-BR" sz="900" b="0" i="1">
                        <a:latin typeface="Cambria Math" panose="02040503050406030204" pitchFamily="18" charset="0"/>
                      </a:rPr>
                      <m:t>=</m:t>
                    </m:r>
                    <m:r>
                      <a:rPr lang="pt-BR" sz="900" b="0" i="1">
                        <a:latin typeface="Cambria Math" panose="02040503050406030204" pitchFamily="18" charset="0"/>
                      </a:rPr>
                      <m:t>𝐸</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𝐶</m:t>
                    </m:r>
                  </m:oMath>
                </m:oMathPara>
              </a14:m>
              <a:endParaRPr lang="pt-BR" sz="900"/>
            </a:p>
          </xdr:txBody>
        </xdr:sp>
      </mc:Choice>
      <mc:Fallback xmlns="">
        <xdr:sp macro="" textlink="">
          <xdr:nvSpPr>
            <xdr:cNvPr id="4" name="CaixaDeTexto 3">
              <a:extLst>
                <a:ext uri="{FF2B5EF4-FFF2-40B4-BE49-F238E27FC236}">
                  <a16:creationId xmlns:a16="http://schemas.microsoft.com/office/drawing/2014/main" id="{1365C21C-864B-4F52-A391-4F3EBF77B7B4}"/>
                </a:ext>
              </a:extLst>
            </xdr:cNvPr>
            <xdr:cNvSpPr txBox="1"/>
          </xdr:nvSpPr>
          <xdr:spPr>
            <a:xfrm>
              <a:off x="9378230" y="2284204"/>
              <a:ext cx="54399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𝐹=𝐸</a:t>
              </a:r>
              <a:r>
                <a:rPr lang="pt-BR" sz="900" b="0" i="0">
                  <a:latin typeface="Cambria Math" panose="02040503050406030204" pitchFamily="18" charset="0"/>
                  <a:ea typeface="Cambria Math" panose="02040503050406030204" pitchFamily="18" charset="0"/>
                </a:rPr>
                <a:t>×𝐶</a:t>
              </a:r>
              <a:endParaRPr lang="pt-BR" sz="900"/>
            </a:p>
          </xdr:txBody>
        </xdr:sp>
      </mc:Fallback>
    </mc:AlternateContent>
    <xdr:clientData/>
  </xdr:oneCellAnchor>
  <xdr:oneCellAnchor>
    <xdr:from>
      <xdr:col>8</xdr:col>
      <xdr:colOff>304799</xdr:colOff>
      <xdr:row>8</xdr:row>
      <xdr:rowOff>56792</xdr:rowOff>
    </xdr:from>
    <xdr:ext cx="543995" cy="140872"/>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276EBB4D-957C-4B60-BF65-F7027D8CEA98}"/>
                </a:ext>
              </a:extLst>
            </xdr:cNvPr>
            <xdr:cNvSpPr txBox="1"/>
          </xdr:nvSpPr>
          <xdr:spPr>
            <a:xfrm>
              <a:off x="6940549" y="2285642"/>
              <a:ext cx="54399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𝐷</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𝐵</m:t>
                    </m:r>
                  </m:oMath>
                </m:oMathPara>
              </a14:m>
              <a:endParaRPr lang="pt-BR" sz="900"/>
            </a:p>
          </xdr:txBody>
        </xdr:sp>
      </mc:Choice>
      <mc:Fallback xmlns="">
        <xdr:sp macro="" textlink="">
          <xdr:nvSpPr>
            <xdr:cNvPr id="5" name="CaixaDeTexto 4">
              <a:extLst>
                <a:ext uri="{FF2B5EF4-FFF2-40B4-BE49-F238E27FC236}">
                  <a16:creationId xmlns:a16="http://schemas.microsoft.com/office/drawing/2014/main" id="{276EBB4D-957C-4B60-BF65-F7027D8CEA98}"/>
                </a:ext>
              </a:extLst>
            </xdr:cNvPr>
            <xdr:cNvSpPr txBox="1"/>
          </xdr:nvSpPr>
          <xdr:spPr>
            <a:xfrm>
              <a:off x="6940549" y="2285642"/>
              <a:ext cx="54399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𝐷=𝐴</a:t>
              </a:r>
              <a:r>
                <a:rPr lang="pt-BR" sz="900" b="0" i="0">
                  <a:latin typeface="Cambria Math" panose="02040503050406030204" pitchFamily="18" charset="0"/>
                  <a:ea typeface="Cambria Math" panose="02040503050406030204" pitchFamily="18" charset="0"/>
                </a:rPr>
                <a:t>×𝐵</a:t>
              </a:r>
              <a:endParaRPr lang="pt-BR" sz="900"/>
            </a:p>
          </xdr:txBody>
        </xdr:sp>
      </mc:Fallback>
    </mc:AlternateContent>
    <xdr:clientData/>
  </xdr:oneCellAnchor>
  <xdr:oneCellAnchor>
    <xdr:from>
      <xdr:col>9</xdr:col>
      <xdr:colOff>304799</xdr:colOff>
      <xdr:row>8</xdr:row>
      <xdr:rowOff>56792</xdr:rowOff>
    </xdr:from>
    <xdr:ext cx="543995" cy="140872"/>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C563BE4-9F39-4164-AD6A-2A71C80BB20D}"/>
                </a:ext>
              </a:extLst>
            </xdr:cNvPr>
            <xdr:cNvSpPr txBox="1"/>
          </xdr:nvSpPr>
          <xdr:spPr>
            <a:xfrm>
              <a:off x="8197849" y="2285642"/>
              <a:ext cx="54399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900" b="0" i="1">
                        <a:latin typeface="Cambria Math" panose="02040503050406030204" pitchFamily="18" charset="0"/>
                      </a:rPr>
                      <m:t>𝐸</m:t>
                    </m:r>
                    <m:r>
                      <a:rPr lang="pt-BR" sz="900" b="0" i="1">
                        <a:latin typeface="Cambria Math" panose="02040503050406030204" pitchFamily="18" charset="0"/>
                      </a:rPr>
                      <m:t>=</m:t>
                    </m:r>
                    <m:r>
                      <a:rPr lang="pt-BR" sz="900" b="0" i="1">
                        <a:latin typeface="Cambria Math" panose="02040503050406030204" pitchFamily="18" charset="0"/>
                      </a:rPr>
                      <m:t>𝐴</m:t>
                    </m:r>
                    <m:r>
                      <a:rPr lang="pt-BR" sz="900" b="0" i="1">
                        <a:latin typeface="Cambria Math" panose="02040503050406030204" pitchFamily="18" charset="0"/>
                        <a:ea typeface="Cambria Math" panose="02040503050406030204" pitchFamily="18" charset="0"/>
                      </a:rPr>
                      <m:t>×</m:t>
                    </m:r>
                    <m:r>
                      <a:rPr lang="pt-BR" sz="900" b="0" i="1">
                        <a:latin typeface="Cambria Math" panose="02040503050406030204" pitchFamily="18" charset="0"/>
                        <a:ea typeface="Cambria Math" panose="02040503050406030204" pitchFamily="18" charset="0"/>
                      </a:rPr>
                      <m:t>𝐵</m:t>
                    </m:r>
                  </m:oMath>
                </m:oMathPara>
              </a14:m>
              <a:endParaRPr lang="pt-BR" sz="900"/>
            </a:p>
          </xdr:txBody>
        </xdr:sp>
      </mc:Choice>
      <mc:Fallback xmlns="">
        <xdr:sp macro="" textlink="">
          <xdr:nvSpPr>
            <xdr:cNvPr id="6" name="CaixaDeTexto 5">
              <a:extLst>
                <a:ext uri="{FF2B5EF4-FFF2-40B4-BE49-F238E27FC236}">
                  <a16:creationId xmlns:a16="http://schemas.microsoft.com/office/drawing/2014/main" id="{EC563BE4-9F39-4164-AD6A-2A71C80BB20D}"/>
                </a:ext>
              </a:extLst>
            </xdr:cNvPr>
            <xdr:cNvSpPr txBox="1"/>
          </xdr:nvSpPr>
          <xdr:spPr>
            <a:xfrm>
              <a:off x="8197849" y="2285642"/>
              <a:ext cx="543995"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900" b="0" i="0">
                  <a:latin typeface="Cambria Math" panose="02040503050406030204" pitchFamily="18" charset="0"/>
                </a:rPr>
                <a:t>𝐸=𝐴</a:t>
              </a:r>
              <a:r>
                <a:rPr lang="pt-BR" sz="900" b="0" i="0">
                  <a:latin typeface="Cambria Math" panose="02040503050406030204" pitchFamily="18" charset="0"/>
                  <a:ea typeface="Cambria Math" panose="02040503050406030204" pitchFamily="18" charset="0"/>
                </a:rPr>
                <a:t>×𝐵</a:t>
              </a:r>
              <a:endParaRPr lang="pt-BR" sz="9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163286</xdr:colOff>
      <xdr:row>0</xdr:row>
      <xdr:rowOff>68037</xdr:rowOff>
    </xdr:from>
    <xdr:to>
      <xdr:col>13</xdr:col>
      <xdr:colOff>871480</xdr:colOff>
      <xdr:row>3</xdr:row>
      <xdr:rowOff>0</xdr:rowOff>
    </xdr:to>
    <xdr:pic>
      <xdr:nvPicPr>
        <xdr:cNvPr id="3" name="Imagem 1">
          <a:extLst>
            <a:ext uri="{FF2B5EF4-FFF2-40B4-BE49-F238E27FC236}">
              <a16:creationId xmlns:a16="http://schemas.microsoft.com/office/drawing/2014/main" id="{AD984C86-71C9-4FC1-96F7-456690A6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 t="6985" r="50690" b="19038"/>
        <a:stretch>
          <a:fillRect/>
        </a:stretch>
      </xdr:blipFill>
      <xdr:spPr bwMode="auto">
        <a:xfrm>
          <a:off x="12559393" y="68037"/>
          <a:ext cx="708194" cy="666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genharia01\D-eng01\Meus%20documentos_Eng%201D\PREFEITURAS%20MUNICIPAIS%20ENG.%201\Joao%20Pessoa\JO&#195;O%20PESSOA%202005\Al&#231;a%20Beira%20Rio_2004\relat&#243;rio\Der\DER\PB008norte\Pb008n-RelFinal01\Pb008n-RelFinal01-Dimens&amp;ComparaPavi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rab\tecsan\MC-Calc\MC-E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de%20Alcantil%20-%20Alcanti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r&#231;amento\n_or&#231;amento\Multimedia%20Files\BE-APRE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BS2G%20CONSULTORIA\ETA%20S&#195;O%20BRAS%20C-D%20-%20JNETO\CD%20LICITA&#199;&#195;O\OR&#199;A%20ETA%20SAO%20BRAS%20RV%20JNETO%203%20(SAMPAI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66dd99b1507bf1f5/Br&#252;cke/Obras/Pref%20Ananindeua/Nova%202023/Canal%20do%20VI%20T2/Implanta&#231;&#227;o%20Canal%20VI%20T2%20Ago23%20-%20TB.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66dd99b1507bf1f5/Br&#252;cke/Obras/Pref%20Ananindeua/Nova%202023/UNA/PLANILHAS%20-%20una%20e%20atalaia%20-rev_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Users/jeniffer.nascimento/Downloads/Composicao%20ORSE%20-%2012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Napole&#227;o%20A.%20N&#243;brega%20-%20S.%20Mamed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ISCO%20E\AMBIENTAL%20ENGENHARIA\COSANPA\GLEBA%20I,%20II%20e%20III\AGUA\LICITA&#199;&#195;O%20II%20-%20TOMADA%20DE%20PRE&#199;OS\OR&#199;AMENTO\OR&#199;AMENTO%20LICITA&#199;&#195;O%20GLEBA%20I,%20II%20e%20III%20-%20TOMAD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SCO%20E\AMBIENTAL%20ENGENHARIA\COSANPA\GLEBA%20I,%20II%20e%20III\AGUA\LICITA&#199;&#195;O%20II%20-%20TOMADA%20DE%20PRE&#199;OS\OR&#199;AMENTO\OR&#199;AMENTO%20LICITA&#199;&#195;O%20GLEBA%20I,%20II%20e%20III%20-%20TOMAD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osenilton\c\Documents%20and%20Settings\DELTA\Meus%20documentos\Obra-1072%20Ananindeua-PA\C.C.%201072%20-%20Ananindeua%20-%20PA\Financeiro\Rela&#231;&#227;o%20de%20Notas%20Fiscais\5NF%201072%20MAIO%20%2008\C&#243;pia%20de%20NF.%201072%20-%2007-05-2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durb-db-01a\diretoria%20projetos\BS2G%20CONSULTORIA\ETA%20S&#195;O%20BRAS%20C-D%20-%20JNETO\CD%20LICITA&#199;&#195;O\OR&#199;A%20ETA%20SAO%20BRAS%20RV%20JNETO%203%20(SAMPAIO)%20FINAL.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Declara&#231;&#227;o%20de%20despesas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PERINTENDECIA\F_SUPERINT\MSOffice\Excel\Obrabelem\PLANC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Bm 8"/>
      <sheetName val="Bm 8"/>
      <sheetName val="Rede 8"/>
      <sheetName val="ValueList_Helper"/>
      <sheetName val="ORÇA. URUARÁ 2019"/>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çosNoPrint"/>
      <sheetName val="ComparaQuantNoPrint"/>
      <sheetName val="TodasTraf-2011-NoPrint"/>
      <sheetName val="TrafPb008"/>
      <sheetName val="PavPb008"/>
      <sheetName val="TrafPb027"/>
      <sheetName val="PavPb027"/>
      <sheetName val="TrafPb033(1)"/>
      <sheetName val="PavPb033(1)"/>
      <sheetName val="TrafPb033(2)"/>
      <sheetName val="PavPb033(2)"/>
      <sheetName val="TrafPb059(1)"/>
      <sheetName val="PavPb059(1)"/>
      <sheetName val="TrafPb059(2)"/>
      <sheetName val="PavPb059(2)"/>
      <sheetName val="TrafPb061"/>
      <sheetName val="PavPb061"/>
      <sheetName val="TrafPb065"/>
      <sheetName val="PavPb065"/>
      <sheetName val="TodasTraf-2000-NoPrint"/>
      <sheetName val="Br101-NoPrint"/>
      <sheetName val="TrafAnual-NoPrint"/>
      <sheetName val="TrafContExpan-NoPrint"/>
      <sheetName val="PavComplNo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or Out. 2001 - BDI=20% Ajust"/>
      <sheetName val="Biblioteca Out. 2001 - BDI=20%"/>
      <sheetName val=" Salas OUT 2001 COM BDI 20%"/>
      <sheetName val="Lab cienc nat BRASILIA"/>
      <sheetName val="CRONOGRAMA - 120 Dias"/>
      <sheetName val="Refor Out_ 2001 _ BDI_20_ Ajust"/>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2)"/>
      <sheetName val="PLANILHA"/>
    </sheetNames>
    <sheetDataSet>
      <sheetData sheetId="0" refreshError="1">
        <row r="1">
          <cell r="P1">
            <v>1</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s>
    <sheetDataSet>
      <sheetData sheetId="0"/>
      <sheetData sheetId="1" refreshError="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Composição8"/>
      <sheetName val="Composição9"/>
      <sheetName val="Composição10"/>
      <sheetName val="Composição11"/>
      <sheetName val="Composição12"/>
      <sheetName val="CANAL RETANGULAR"/>
      <sheetName val="Resumo VI"/>
      <sheetName val="Plan Licit VI"/>
      <sheetName val="Resumo VI (ATUAL)"/>
      <sheetName val="Plan Licit VI (ATUAL)"/>
      <sheetName val="MC D"/>
      <sheetName val="MC TERR"/>
      <sheetName val="MC DESM"/>
      <sheetName val="Desmat"/>
      <sheetName val="MC COMP"/>
      <sheetName val="GC"/>
      <sheetName val="MC PAV"/>
      <sheetName val="Cron VI"/>
      <sheetName val="B.D.I"/>
      <sheetName val="ENCARGOS "/>
      <sheetName val="Composição1"/>
      <sheetName val="Composição1a"/>
      <sheetName val="Composição2"/>
      <sheetName val="Composição3a"/>
      <sheetName val="Composição5"/>
      <sheetName val="Composição6"/>
      <sheetName val="Composição7"/>
      <sheetName val="CPU'S"/>
      <sheetName val="CPU´S"/>
      <sheetName val="SESAN"/>
      <sheetName val="RESUMO (ADT1) (2)"/>
      <sheetName val="READEQUADA (ADT1)"/>
      <sheetName val="PONTE  15m"/>
      <sheetName val="MC TERR (ADT1 REP)"/>
      <sheetName val="RESUMO"/>
      <sheetName val="Maguariaçu T2"/>
      <sheetName val="CPU SINAPI"/>
      <sheetName val="Cronograma Maguariaçu (2)"/>
      <sheetName val="MEMORIA"/>
      <sheetName val="Aux Comp"/>
      <sheetName val="G-C SÓ C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4">
          <cell r="F34">
            <v>0</v>
          </cell>
        </row>
        <row r="35">
          <cell r="F35">
            <v>0</v>
          </cell>
        </row>
        <row r="36">
          <cell r="F36">
            <v>0</v>
          </cell>
        </row>
        <row r="37">
          <cell r="F37">
            <v>0</v>
          </cell>
        </row>
        <row r="44">
          <cell r="F44">
            <v>0</v>
          </cell>
        </row>
      </sheetData>
      <sheetData sheetId="15" refreshError="1"/>
      <sheetData sheetId="16" refreshError="1"/>
      <sheetData sheetId="17" refreshError="1"/>
      <sheetData sheetId="18" refreshError="1"/>
      <sheetData sheetId="19" refreshError="1">
        <row r="22">
          <cell r="J22">
            <v>0.27457229088975987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21">
          <cell r="G21">
            <v>110.73000000000002</v>
          </cell>
        </row>
      </sheetData>
      <sheetData sheetId="30" refreshError="1">
        <row r="31">
          <cell r="I31">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sheetData>
      <sheetData sheetId="31" refreshError="1"/>
      <sheetData sheetId="32" refreshError="1">
        <row r="145">
          <cell r="D145" t="str">
            <v>PAVIMENTAÇÃO DAS MARGINAIS</v>
          </cell>
        </row>
        <row r="146">
          <cell r="E146" t="str">
            <v>M3</v>
          </cell>
        </row>
        <row r="147">
          <cell r="B147">
            <v>6079</v>
          </cell>
          <cell r="E147" t="str">
            <v>M3</v>
          </cell>
        </row>
        <row r="149">
          <cell r="E149" t="str">
            <v>M3</v>
          </cell>
        </row>
        <row r="150">
          <cell r="E150" t="str">
            <v>M3</v>
          </cell>
        </row>
        <row r="151">
          <cell r="B151" t="str">
            <v xml:space="preserve">4746 </v>
          </cell>
          <cell r="E151" t="str">
            <v xml:space="preserve">M3 </v>
          </cell>
        </row>
        <row r="154">
          <cell r="E154" t="str">
            <v>M2</v>
          </cell>
        </row>
        <row r="155">
          <cell r="E155" t="str">
            <v>M2</v>
          </cell>
        </row>
        <row r="156">
          <cell r="E156" t="str">
            <v>M3</v>
          </cell>
        </row>
        <row r="157">
          <cell r="B157" t="str">
            <v>95875</v>
          </cell>
          <cell r="E157" t="str">
            <v>M3XKM</v>
          </cell>
        </row>
      </sheetData>
      <sheetData sheetId="33" refreshError="1"/>
      <sheetData sheetId="34" refreshError="1"/>
      <sheetData sheetId="35" refreshError="1"/>
      <sheetData sheetId="36" refreshError="1">
        <row r="10">
          <cell r="B10" t="str">
            <v>Composição 1</v>
          </cell>
          <cell r="C10" t="str">
            <v>ADMINISTRAÇÃO LOCAL DA OBRA</v>
          </cell>
          <cell r="D10" t="str">
            <v>MÊS</v>
          </cell>
          <cell r="E10">
            <v>7</v>
          </cell>
          <cell r="F10">
            <v>88110.040000000008</v>
          </cell>
        </row>
        <row r="11">
          <cell r="B11" t="str">
            <v>Composição 2</v>
          </cell>
          <cell r="C11" t="str">
            <v>Locação Topográfica</v>
          </cell>
          <cell r="D11" t="str">
            <v>M2</v>
          </cell>
          <cell r="E11">
            <v>60450</v>
          </cell>
          <cell r="F11">
            <v>2.0116174184787718</v>
          </cell>
        </row>
        <row r="12">
          <cell r="B12"/>
          <cell r="C12" t="str">
            <v>MOBILIZAÇÃO E DESMOBILIZAÇÃO DA OBRA</v>
          </cell>
          <cell r="D12"/>
          <cell r="E12"/>
          <cell r="F12"/>
        </row>
        <row r="13">
          <cell r="B13" t="str">
            <v>Composição 3</v>
          </cell>
          <cell r="C13" t="str">
            <v>Mobilização da Obra</v>
          </cell>
          <cell r="D13" t="str">
            <v>UN</v>
          </cell>
          <cell r="E13">
            <v>1</v>
          </cell>
          <cell r="F13" t="e">
            <v>#REF!</v>
          </cell>
        </row>
        <row r="14">
          <cell r="B14" t="str">
            <v>Composição 4</v>
          </cell>
          <cell r="C14" t="str">
            <v>Desmobilização da Obra</v>
          </cell>
          <cell r="D14" t="str">
            <v>UN</v>
          </cell>
          <cell r="E14">
            <v>1</v>
          </cell>
          <cell r="F14" t="e">
            <v>#REF!</v>
          </cell>
        </row>
        <row r="15">
          <cell r="B15"/>
          <cell r="C15" t="str">
            <v>CANTEIRO DE OBRA</v>
          </cell>
          <cell r="D15"/>
          <cell r="E15"/>
          <cell r="F15"/>
        </row>
        <row r="16">
          <cell r="B16">
            <v>93207</v>
          </cell>
          <cell r="C16" t="str">
            <v>Barracao De Obra Em Chapa De Madeira Compensada Com Banheiro, Cobertura Em Fibrocimento 4 Mm, Incluso Instalacoes Hidro-Sanitarias E Eletricas</v>
          </cell>
          <cell r="D16" t="str">
            <v>M2</v>
          </cell>
          <cell r="E16">
            <v>30</v>
          </cell>
          <cell r="F16">
            <v>728.92</v>
          </cell>
        </row>
        <row r="17">
          <cell r="B17">
            <v>93208</v>
          </cell>
          <cell r="C17" t="str">
            <v>Barracao Para Deposito Em Tabuas De Madeira, Cobertura Em Fibrocimento 4 Mm,  Incluso Piso Argamassa Traço 1:6 (Cimento E Areia)</v>
          </cell>
          <cell r="D17" t="str">
            <v>M2</v>
          </cell>
          <cell r="E17">
            <v>40</v>
          </cell>
          <cell r="F17">
            <v>568.5</v>
          </cell>
        </row>
        <row r="18">
          <cell r="B18">
            <v>93210</v>
          </cell>
          <cell r="C18" t="str">
            <v>Barracao Para Refeitório Em Tabuas De Madeira, Cobertura Em Fibrocimento 4 Mm,  Incluso Piso Argamassa Traço 1:6 (Cimento E Areia)</v>
          </cell>
          <cell r="D18" t="str">
            <v>M2</v>
          </cell>
          <cell r="E18">
            <v>40</v>
          </cell>
          <cell r="F18">
            <v>386.77</v>
          </cell>
        </row>
        <row r="19">
          <cell r="B19">
            <v>93212</v>
          </cell>
          <cell r="C19" t="str">
            <v>Barracao Para Sanitários Em Tabuas De Madeira, Cobertura Em Fibrocimento 4 Mm,  Incluso Piso Argamassa Traço 1:6 (Cimento E Areia)</v>
          </cell>
          <cell r="D19" t="str">
            <v>M2</v>
          </cell>
          <cell r="E19">
            <v>20</v>
          </cell>
          <cell r="F19">
            <v>657.83</v>
          </cell>
        </row>
        <row r="20">
          <cell r="B20">
            <v>98068</v>
          </cell>
          <cell r="C20" t="str">
            <v>Fossa Septica Em Alvenaria De Tijolo Ceramico Macico Dimensoes Externas 1,90X1,10X1,40M, 1.500 Litros, Revestida Internamente Com Barra Lisa, Com Tampa Em Concreto Armado Com Espessura 8Cm</v>
          </cell>
          <cell r="D20" t="str">
            <v>UN</v>
          </cell>
          <cell r="E20">
            <v>1</v>
          </cell>
          <cell r="F20">
            <v>6795.16</v>
          </cell>
        </row>
        <row r="21">
          <cell r="B21">
            <v>98080</v>
          </cell>
          <cell r="C21" t="str">
            <v>Sumidouro Em Alvenaria De Tijolo Ceramico Macico Diametro 1,20M E Altura 5,00M, Com Tampa Em Concreto Armado Diametro 1,40M E Espessura 10Cm</v>
          </cell>
          <cell r="D21" t="str">
            <v>UN</v>
          </cell>
          <cell r="E21">
            <v>1</v>
          </cell>
          <cell r="F21">
            <v>6519.86</v>
          </cell>
        </row>
        <row r="22">
          <cell r="B22">
            <v>41598</v>
          </cell>
          <cell r="C22" t="str">
            <v>Entrada Provisoria De Energia Eletrica Aerea Trifasica 40A Em Poste Madeira</v>
          </cell>
          <cell r="D22" t="str">
            <v>UN</v>
          </cell>
          <cell r="E22">
            <v>1</v>
          </cell>
          <cell r="F22">
            <v>1373.49</v>
          </cell>
        </row>
        <row r="23">
          <cell r="B23" t="str">
            <v>74209/001</v>
          </cell>
          <cell r="C23" t="str">
            <v>Placa De Obra Em Chapa De Aco Galvanizado</v>
          </cell>
          <cell r="D23" t="str">
            <v>M2</v>
          </cell>
          <cell r="E23">
            <v>10</v>
          </cell>
          <cell r="F23">
            <v>472.54</v>
          </cell>
        </row>
        <row r="24">
          <cell r="B24"/>
          <cell r="C24" t="str">
            <v>DESMATAMENTO E TERRAPLENAGEM DO CANAL</v>
          </cell>
          <cell r="D24"/>
          <cell r="E24"/>
          <cell r="F24"/>
        </row>
        <row r="25">
          <cell r="B25"/>
          <cell r="C25" t="str">
            <v>DESMATAMENTO E BOTA-FORA</v>
          </cell>
          <cell r="D25"/>
          <cell r="E25"/>
          <cell r="F25"/>
        </row>
        <row r="26">
          <cell r="B26">
            <v>73672</v>
          </cell>
          <cell r="C26" t="str">
            <v>DESMATAMENTO E LIMPEZA MECANIZADA DE TERRENO COM ARVORES ATE Ø 15CM, UTILIZANDO TRATOR DE ESTEIRAS</v>
          </cell>
          <cell r="D26" t="str">
            <v>M2</v>
          </cell>
          <cell r="E26">
            <v>0</v>
          </cell>
          <cell r="F26">
            <v>0.34</v>
          </cell>
        </row>
        <row r="27">
          <cell r="B27" t="str">
            <v>73822/002</v>
          </cell>
          <cell r="C27" t="str">
            <v>LIMPEZA MECANIZADA DE TERRENO COM REMOCAO DE CAMADA VEGETAL, UTILIZANDO MOTONIVELADORA</v>
          </cell>
          <cell r="D27" t="str">
            <v>M2</v>
          </cell>
          <cell r="E27">
            <v>0</v>
          </cell>
          <cell r="F27">
            <v>0.5</v>
          </cell>
        </row>
        <row r="28">
          <cell r="B28" t="str">
            <v>73871/002*</v>
          </cell>
          <cell r="C28" t="str">
            <v>DESTOCAMENTO MECANICO DE ARVORES, Ø ATE 30CM</v>
          </cell>
          <cell r="D28" t="str">
            <v>UN</v>
          </cell>
          <cell r="E28">
            <v>0</v>
          </cell>
          <cell r="F28">
            <v>29.31</v>
          </cell>
        </row>
        <row r="29">
          <cell r="B29" t="str">
            <v>73871/003*</v>
          </cell>
          <cell r="C29" t="str">
            <v>DESTOCAMENTO MECANICO DE ARVORES, Ø ENTRE 30 E 50CM</v>
          </cell>
          <cell r="D29" t="str">
            <v>UN</v>
          </cell>
          <cell r="E29">
            <v>0</v>
          </cell>
          <cell r="F29">
            <v>52.44</v>
          </cell>
        </row>
        <row r="30">
          <cell r="B30" t="str">
            <v>73871/004*</v>
          </cell>
          <cell r="C30" t="str">
            <v>DESTOCAMENTO MECANICO DE ARVORES, Ø MAIOR QUE 50CM</v>
          </cell>
          <cell r="D30" t="str">
            <v>UN</v>
          </cell>
          <cell r="E30"/>
          <cell r="F30">
            <v>87.8</v>
          </cell>
        </row>
        <row r="31">
          <cell r="B31">
            <v>72898</v>
          </cell>
          <cell r="C31" t="str">
            <v>CARGA E DESCARGA MECANIZADAS DE ENTULHO EM CAMINHAO BASCULANTE 6 M3</v>
          </cell>
          <cell r="D31" t="str">
            <v>M3</v>
          </cell>
          <cell r="E31">
            <v>3829.35</v>
          </cell>
          <cell r="F31">
            <v>3.7</v>
          </cell>
        </row>
        <row r="32">
          <cell r="B32">
            <v>97914</v>
          </cell>
          <cell r="C32" t="str">
            <v>TRANSPORTE COM CAMINHÃO BASCULANTE DE 6 M3, EM VIA URBANA PAVIMENTADA, DMT ATÉ 30 KM (UNIDADE: M3XKM). AF_01/2018</v>
          </cell>
          <cell r="D32" t="str">
            <v>M3xKM</v>
          </cell>
          <cell r="E32">
            <v>48785.919999999998</v>
          </cell>
          <cell r="F32">
            <v>1.55</v>
          </cell>
        </row>
        <row r="33">
          <cell r="B33"/>
          <cell r="C33" t="str">
            <v>CORTE E BOTA-FORA DO CANAL E MARGINAIS</v>
          </cell>
          <cell r="D33"/>
          <cell r="E33"/>
          <cell r="F33"/>
        </row>
        <row r="34">
          <cell r="B34">
            <v>88548</v>
          </cell>
          <cell r="C34" t="str">
            <v xml:space="preserve">DRAGAGEM - ESCAVAÇÃO SUBMERSA </v>
          </cell>
          <cell r="D34" t="str">
            <v>M3</v>
          </cell>
          <cell r="E34">
            <v>3751.2</v>
          </cell>
          <cell r="F34">
            <v>25.04</v>
          </cell>
        </row>
        <row r="35">
          <cell r="B35" t="str">
            <v>Composição 5</v>
          </cell>
          <cell r="C35" t="str">
            <v>REMOÇÃO EM SOLO MOLE ATÉ 5,00M DE PROFUNDIDADE</v>
          </cell>
          <cell r="D35" t="str">
            <v>M3</v>
          </cell>
          <cell r="E35">
            <v>1593.6347999999998</v>
          </cell>
          <cell r="F35">
            <v>20.426411767288798</v>
          </cell>
        </row>
        <row r="36">
          <cell r="B36">
            <v>97914</v>
          </cell>
          <cell r="C36" t="str">
            <v>TRANSPORTE COM CAMINHÃO BASCULANTE DE 6 M3, EM VIA URBANA PAVIMENTADA, DMT ATÉ 30 KM (UNIDADE: M3XKM). AF_01/2018</v>
          </cell>
          <cell r="D36" t="str">
            <v>M3xKM</v>
          </cell>
          <cell r="E36">
            <v>68093.140000000029</v>
          </cell>
          <cell r="F36">
            <v>1.55</v>
          </cell>
        </row>
        <row r="37">
          <cell r="B37"/>
          <cell r="C37" t="str">
            <v>TERRAPLENAGEM TALUDES E MARGINAIS</v>
          </cell>
          <cell r="D37"/>
          <cell r="E37"/>
          <cell r="F37"/>
        </row>
        <row r="38">
          <cell r="B38">
            <v>79482</v>
          </cell>
          <cell r="C38" t="str">
            <v>ATERRO COM AREIA COM ADENSAMENTO HIDRAULICO (S/ TRANSPORTE AREIA)</v>
          </cell>
          <cell r="D38" t="str">
            <v>M3</v>
          </cell>
          <cell r="E38">
            <v>1297.2899999999995</v>
          </cell>
          <cell r="F38">
            <v>50.69</v>
          </cell>
        </row>
        <row r="39">
          <cell r="B39">
            <v>97915</v>
          </cell>
          <cell r="C39" t="str">
            <v>TRANSPORTE COM CAMINHÃO BASCULANTE DE 6 M3, EM VIA URBANA PAVIMENTADA, DMT ACIMA DE 30 KM (UNIDADE: M3XKM). AF_01/2018</v>
          </cell>
          <cell r="D39" t="str">
            <v>M3xKM</v>
          </cell>
          <cell r="E39">
            <v>50594.309999999983</v>
          </cell>
          <cell r="F39">
            <v>1.1000000000000001</v>
          </cell>
        </row>
        <row r="40">
          <cell r="B40" t="str">
            <v>74151/001</v>
          </cell>
          <cell r="C40" t="str">
            <v>ESCAVACAO E CARGA MATERIAL 1A CATEGORIA, UTILIZANDO TRATOR DE ESTEIRAS DE 110 A 160HP COM LAMINA, PESO OPERACIONAL * 13T E PA CARREGADEIRA COM 170 HP.</v>
          </cell>
          <cell r="D40" t="str">
            <v>M3</v>
          </cell>
          <cell r="E40">
            <v>6642.1247999999978</v>
          </cell>
          <cell r="F40">
            <v>2.92</v>
          </cell>
        </row>
        <row r="41">
          <cell r="B41">
            <v>6079</v>
          </cell>
          <cell r="C41" t="str">
            <v>ARGILA, ARGILA VERMELHA OU ARGILA ARENOSA (RETIRADA NA JAZIDA, SEM TRANSPORTE)</v>
          </cell>
          <cell r="D41" t="str">
            <v>M3</v>
          </cell>
          <cell r="E41">
            <v>6642.1247999999978</v>
          </cell>
          <cell r="F41">
            <v>8.74</v>
          </cell>
        </row>
        <row r="42">
          <cell r="B42">
            <v>97914</v>
          </cell>
          <cell r="C42" t="str">
            <v>TRANSPORTE COM CAMINHÃO BASCULANTE DE 6 M3, EM VIA URBANA PAVIMENTADA, DMT ATÉ 30 KM (UNIDADE: M3XKM). AF_01/2018</v>
          </cell>
          <cell r="D42" t="str">
            <v>M3xKM</v>
          </cell>
          <cell r="E42">
            <v>259042.75999999995</v>
          </cell>
          <cell r="F42">
            <v>1.55</v>
          </cell>
        </row>
        <row r="43">
          <cell r="B43">
            <v>96385</v>
          </cell>
          <cell r="C43" t="str">
            <v>EXECUÇÃO E COMPACTAÇÃO DE ATERRO COM SOLO PREDOMINANTEMENTE ARGILOSO - EXCLUSIVE ESCAVAÇÃO, CARGA E TRANSPORTE E SOLO. AF_09/2017</v>
          </cell>
          <cell r="D43" t="str">
            <v>M3</v>
          </cell>
          <cell r="E43">
            <v>6642.1247999999978</v>
          </cell>
          <cell r="F43">
            <v>5.01</v>
          </cell>
        </row>
        <row r="44">
          <cell r="B44" t="str">
            <v>Composição 6</v>
          </cell>
          <cell r="C44" t="str">
            <v>CAMINHO DE SERVIÇO</v>
          </cell>
          <cell r="D44" t="str">
            <v>M3</v>
          </cell>
          <cell r="E44">
            <v>625.20000000000005</v>
          </cell>
          <cell r="F44">
            <v>397.63</v>
          </cell>
        </row>
        <row r="45">
          <cell r="B45"/>
          <cell r="C45" t="str">
            <v>REVESTIMENTO DO TALUDE</v>
          </cell>
          <cell r="D45"/>
          <cell r="E45"/>
          <cell r="F45"/>
        </row>
        <row r="46">
          <cell r="B46">
            <v>92743</v>
          </cell>
          <cell r="C46" t="str">
            <v>MURO DE GABIÃO, ENCHIMENTO COM PEDRA DE MÃO TIPO RACHÃO, DE GRAVIDADE, COM GAIOLAS DE COMPRIMENTO IGUAL A 2 METROS, ALTURA DO MURO DE ATÉ 4 METROS - FORNECIMENTO E EXECUÇÃO. AF_12/2015</v>
          </cell>
          <cell r="D46" t="str">
            <v>M3</v>
          </cell>
          <cell r="E46" t="e">
            <v>#REF!</v>
          </cell>
          <cell r="F46">
            <v>474.91</v>
          </cell>
        </row>
        <row r="47">
          <cell r="B47">
            <v>92756</v>
          </cell>
          <cell r="C47" t="str">
            <v>PROTEÇÃO SUPERFICIAL DE CANAL EM GABIÃO TIPO COLCHÃO, ALTURA DE 23 CENTÍMETROS, ENCHIMENTO COM PEDRA DE MÃO TIPO RACHÃO - FORNECIMENTO E EXECUÇÃO. AF_12/2015</v>
          </cell>
          <cell r="D47" t="str">
            <v>M2</v>
          </cell>
          <cell r="E47" t="e">
            <v>#REF!</v>
          </cell>
          <cell r="F47">
            <v>202.71</v>
          </cell>
        </row>
        <row r="48">
          <cell r="B48">
            <v>83739</v>
          </cell>
          <cell r="C48" t="str">
            <v>FORNECIMENTO/INSTALACAO DE MANTA BIDIM RT-10</v>
          </cell>
          <cell r="D48" t="str">
            <v>M2</v>
          </cell>
          <cell r="E48" t="e">
            <v>#REF!</v>
          </cell>
          <cell r="F48">
            <v>5.62</v>
          </cell>
        </row>
        <row r="49">
          <cell r="B49">
            <v>3312</v>
          </cell>
          <cell r="C49" t="str">
            <v>ARAME DE AMARRACAO PARA GABIAO GALVANIZADO, DIAMETRO 2,2 MM</v>
          </cell>
          <cell r="D49" t="str">
            <v>KG</v>
          </cell>
          <cell r="E49" t="e">
            <v>#REF!</v>
          </cell>
          <cell r="F49">
            <v>22.23</v>
          </cell>
        </row>
        <row r="50">
          <cell r="B50"/>
          <cell r="C50" t="str">
            <v>URBANIZAÇÃO MARGINAIS</v>
          </cell>
          <cell r="D50"/>
          <cell r="E50"/>
          <cell r="F50"/>
        </row>
        <row r="51">
          <cell r="B51"/>
          <cell r="C51" t="str">
            <v>GUARDA-CORPO (PILARETE E TRAVESSAS)</v>
          </cell>
          <cell r="D51"/>
          <cell r="E51"/>
          <cell r="F51"/>
        </row>
        <row r="52">
          <cell r="B52">
            <v>92426</v>
          </cell>
          <cell r="C52" t="str">
            <v>MONTAGEM E DESMONTAGEM DE FÔRMA DE PILARES RETANGULARES E ESTRUTURAS, EM CHAPA DE MADEIRA COMPENSADA RESINADA, 8 UTILIZAÇÕES</v>
          </cell>
          <cell r="D52" t="str">
            <v>m2</v>
          </cell>
          <cell r="E52">
            <v>499.20000000000005</v>
          </cell>
          <cell r="F52">
            <v>40.15</v>
          </cell>
        </row>
        <row r="53">
          <cell r="B53">
            <v>92777</v>
          </cell>
          <cell r="C53" t="str">
            <v>ARMAÇÃO DE PILAR OU VIGA DE UMA ESTRUTURA CONVENCIONAL DE CONCRETO ARMADO, UTILIZANDO AÇO CA-50 DE 8,0 MM - MONTAGEM. AF_12/2015</v>
          </cell>
          <cell r="D53" t="str">
            <v>kg</v>
          </cell>
          <cell r="E53">
            <v>2976.0000000000005</v>
          </cell>
          <cell r="F53">
            <v>9.08</v>
          </cell>
        </row>
        <row r="54">
          <cell r="B54">
            <v>92718</v>
          </cell>
          <cell r="C54" t="str">
            <v>CONCRETAGEM DE PILARES, FCK = 25 MPA, COM USO DE BALDES EM EDIFICAÇÃO COM SEÇÃO MÉDIA DE PILARES MENOR OU IGUAL A 0,25 M² - LANÇAMENTO, ADENSAMENTO E ACABAMENTO. AF_12/2015</v>
          </cell>
          <cell r="D54" t="str">
            <v>m3</v>
          </cell>
          <cell r="E54">
            <v>29.760000000000005</v>
          </cell>
          <cell r="F54">
            <v>530.52</v>
          </cell>
        </row>
        <row r="55">
          <cell r="B55">
            <v>94273</v>
          </cell>
          <cell r="C55" t="str">
            <v>ASSENTAMENTO DE GUIA (MEIO-FIO) EM TRECHO RETO, CONFECCIONADA EM CONCRETO PRÉ-FABRICADO, DIMENSÕES 100X15X13X30 CM (COMPRIMENTO X BASE INFERIOR X BASE SUPERIOR X ALTURA), PARA VIAS URBANAS (USO VIÁRIO). AF_06/2016</v>
          </cell>
          <cell r="D55" t="str">
            <v>M</v>
          </cell>
          <cell r="E55">
            <v>3868.8</v>
          </cell>
          <cell r="F55">
            <v>32.130000000000003</v>
          </cell>
        </row>
        <row r="56">
          <cell r="B56">
            <v>94274</v>
          </cell>
          <cell r="C56" t="str">
            <v>ASSENTAMENTO DE GUIA (MEIO-FIO) EM TRECHO CURVO, CONFECCIONADA EM CONCRETO PRÉ-FABRICADO, DIMENSÕES 100X15X13X30 CM (COMPRIMENTO X BASE INFERIOR X BASE SUPERIOR X ALTURA), PARA VIAS URBANAS (USO VIÁRIO). AF_06/2016</v>
          </cell>
          <cell r="D56" t="str">
            <v>M</v>
          </cell>
          <cell r="E56">
            <v>967.2</v>
          </cell>
          <cell r="F56">
            <v>34.9</v>
          </cell>
        </row>
        <row r="57">
          <cell r="B57">
            <v>94283</v>
          </cell>
          <cell r="C57" t="str">
            <v>EXECUÇÃO DE SARJETA DE CONCRETO USINADO, MOLDADA IN LOCO EM TRECHO RETO, 45 CM BASE X 15 CM ALTURA. AF_06/2016</v>
          </cell>
          <cell r="D57" t="str">
            <v>M</v>
          </cell>
          <cell r="E57"/>
          <cell r="F57">
            <v>48.28</v>
          </cell>
        </row>
        <row r="58">
          <cell r="B58">
            <v>94284</v>
          </cell>
          <cell r="C58" t="str">
            <v>EXECUÇÃO DE SARJETA DE CONCRETO USINADO, MOLDADA IN LOCO EM TRECHO CURVA, 45 CM BASE X 15 CM ALTURA. AF_06/2016</v>
          </cell>
          <cell r="D58" t="str">
            <v>M</v>
          </cell>
          <cell r="E58"/>
          <cell r="F58">
            <v>56.7</v>
          </cell>
        </row>
        <row r="59">
          <cell r="B59">
            <v>94990</v>
          </cell>
          <cell r="C59" t="str">
            <v>EXECUÇÃO DE PASSEIO (CALÇADA) OU PISO DE CONCRETO COM CONCRETO MOLDADO IN LOCO, FEITO EM OBRA, ACABAMENTO CONVENCIONAL, NÃO ARMADO. AF_07/2016</v>
          </cell>
          <cell r="D59" t="str">
            <v>M3</v>
          </cell>
          <cell r="E59">
            <v>187.15091204204691</v>
          </cell>
          <cell r="F59">
            <v>609.04</v>
          </cell>
        </row>
        <row r="60">
          <cell r="B60"/>
          <cell r="C60" t="str">
            <v>DRENAGEM E LANÇAMENTO CANAL</v>
          </cell>
          <cell r="D60"/>
          <cell r="E60">
            <v>6</v>
          </cell>
          <cell r="F60"/>
        </row>
        <row r="61">
          <cell r="B61">
            <v>90106</v>
          </cell>
          <cell r="C61" t="str">
            <v>ESCAVAÇÃO MECANIZADA DE VALA COM PROFUNDIDADE ATÉ 1,5 M (MÉDIA ENTRE M</v>
          </cell>
          <cell r="D61" t="str">
            <v>M3</v>
          </cell>
          <cell r="E61">
            <v>113.39999999999999</v>
          </cell>
          <cell r="F61">
            <v>5.19</v>
          </cell>
        </row>
        <row r="62">
          <cell r="B62">
            <v>94049</v>
          </cell>
          <cell r="C62" t="str">
            <v>ESCORAMENTO DE VALA, TIPO DESCONTÍNUO, COM PROFUNDIDADE DE 0 A 1,5 M,</v>
          </cell>
          <cell r="D62" t="str">
            <v>M2</v>
          </cell>
          <cell r="E62">
            <v>162</v>
          </cell>
          <cell r="F62">
            <v>24.86</v>
          </cell>
        </row>
        <row r="63">
          <cell r="B63">
            <v>92214</v>
          </cell>
          <cell r="C63" t="str">
            <v>TUBO DE CONCRETO PARA REDES COLETORAS DE ÁGUAS PLUVIAIS, DIÂMETRO DE 800 MM, JUNTA RÍGIDA, INSTALADO EM LOCAL COM BAIXO NÍVEL DE INTERFERÊNC</v>
          </cell>
          <cell r="D63" t="str">
            <v>M</v>
          </cell>
          <cell r="E63">
            <v>54</v>
          </cell>
          <cell r="F63">
            <v>202.4</v>
          </cell>
        </row>
        <row r="64">
          <cell r="B64">
            <v>94111</v>
          </cell>
          <cell r="C64" t="str">
            <v>LASTRO DE VALA COM PREPARO DE FUNDO, LARGURA MENOR QUE 1,5 M, COM CAMADA DE AREIA, LANÇAMENTO MECANIZADO, EM LOCAL COM NÍVEL BAIXO DE INTERF</v>
          </cell>
          <cell r="D64" t="str">
            <v>M3</v>
          </cell>
          <cell r="E64">
            <v>11.34</v>
          </cell>
          <cell r="F64">
            <v>132.28</v>
          </cell>
        </row>
        <row r="65">
          <cell r="B65">
            <v>93379</v>
          </cell>
          <cell r="C65" t="str">
            <v>REATERRO MECANIZADO DE VALA COM RETROESCAVADEIRA (CAPACIDADE DA CAÇAMBA DA RETRO: 0,26 M³ / POTÊNCIA: 88 HP), LARGURA DE 0,8 A 1,5 M, PROFUN</v>
          </cell>
          <cell r="D65" t="str">
            <v>M3</v>
          </cell>
          <cell r="E65">
            <v>36.948959999999985</v>
          </cell>
          <cell r="F65">
            <v>12.04</v>
          </cell>
        </row>
        <row r="66">
          <cell r="B66" t="str">
            <v>73856/003</v>
          </cell>
          <cell r="C66" t="str">
            <v>BOCA PARA BUEIRO SIMPLES TUBULAR, DIAMETRO =0,80M, EM CONCRETO CICLOPICO, INCLUINDO FORMAS, ESCAVACAO, REATERRO E MATERIAIS, EXCLUINDO MATER</v>
          </cell>
          <cell r="D66" t="str">
            <v xml:space="preserve">UN </v>
          </cell>
          <cell r="E66">
            <v>6</v>
          </cell>
          <cell r="F66">
            <v>1309.26</v>
          </cell>
        </row>
        <row r="67">
          <cell r="B67">
            <v>99244</v>
          </cell>
          <cell r="C67" t="str">
            <v>BASE PARA POÇO DE VISITA RETANGULAR PARA DRENAGEM, EM ALVENARIA COM BLOCOS DE CONCRETO, DIMENSÕES INTERNAS = 1,5X2 M, PROFUNDIDADE = 1,45 M,</v>
          </cell>
          <cell r="D67" t="str">
            <v xml:space="preserve">UN </v>
          </cell>
          <cell r="E67">
            <v>6</v>
          </cell>
          <cell r="F67">
            <v>3612.23</v>
          </cell>
        </row>
        <row r="68">
          <cell r="B68">
            <v>98114</v>
          </cell>
          <cell r="C68" t="str">
            <v>TAMPA CIRCULAR PARA ESGOTO E DRENAGEM, EM FERRO FUNDIDO, DIÂMETRO INTERNO = 0,6 M. AF_05/2018</v>
          </cell>
          <cell r="D68" t="str">
            <v xml:space="preserve">UN </v>
          </cell>
          <cell r="E68">
            <v>6</v>
          </cell>
          <cell r="F68">
            <v>400.15</v>
          </cell>
        </row>
      </sheetData>
      <sheetData sheetId="37" refreshError="1"/>
      <sheetData sheetId="38" refreshError="1"/>
      <sheetData sheetId="39" refreshError="1"/>
      <sheetData sheetId="40" refreshError="1"/>
      <sheetData sheetId="4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ORÇAMENTO"/>
      <sheetName val="MC-DRE"/>
      <sheetName val="MC-TER"/>
      <sheetName val="MC-PAV"/>
      <sheetName val="CRONOGRAMA"/>
      <sheetName val="Planilha1"/>
      <sheetName val="Planilha2"/>
      <sheetName val="Planilha3"/>
      <sheetName val="Planilha4"/>
      <sheetName val="Planilha5"/>
      <sheetName val="Planilha6"/>
      <sheetName val="CPU-VII"/>
      <sheetName val="Planilha7"/>
      <sheetName val="Planilha8"/>
      <sheetName val="LS"/>
      <sheetName val="BDI"/>
      <sheetName val="CPU-cbuq"/>
      <sheetName val="PV PARA REDE 600"/>
    </sheetNames>
    <sheetDataSet>
      <sheetData sheetId="0"/>
      <sheetData sheetId="1">
        <row r="9">
          <cell r="D9" t="str">
            <v>EXECUÇÃO DOS SERVIÇOS DE INFRAESTRUTURA NO UNA/ATALAIA/JADERLÂNDIA  - NO MUNICÍPIO DE ANANINDEUA - PA.</v>
          </cell>
        </row>
        <row r="104">
          <cell r="F104" t="str">
            <v>Recuperação de PV´s ou Caixas de águas pluviais para bueiros simples</v>
          </cell>
        </row>
        <row r="105">
          <cell r="F105" t="str">
            <v>Recuperação de BL´s simples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ORSE"/>
    </sheetNames>
    <sheetDataSet>
      <sheetData sheetId="0" refreshError="1">
        <row r="12">
          <cell r="H12" t="str">
            <v xml:space="preserve"> 0,0059524</v>
          </cell>
        </row>
        <row r="20">
          <cell r="H20" t="str">
            <v xml:space="preserve"> 0,0178571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 120 Dias"/>
      <sheetName val="Reforma"/>
      <sheetName val="Ciência da Natureza"/>
      <sheetName val="Informática"/>
      <sheetName val="Biblioteca"/>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KsKr"/>
      <sheetName val="Etapa Única"/>
      <sheetName val="Trans.2o. trecho"/>
      <sheetName val="ETA-Mat"/>
      <sheetName val="INCCTOT"/>
      <sheetName val="Jacaraci"/>
      <sheetName val="Demanda-Total"/>
      <sheetName val="V reservação"/>
      <sheetName val="Pre dimensADUTORA"/>
      <sheetName val="Lista"/>
      <sheetName val="Zona A"/>
      <sheetName val="Zona B"/>
      <sheetName val="EEAB1(3+1)3G"/>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efreshError="1"/>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sheetData sheetId="1" refreshError="1"/>
      <sheetData sheetId="2"/>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 versão 2a"/>
      <sheetName val="Cad.Fornecedores"/>
      <sheetName val="Relação Modalidades"/>
    </sheetNames>
    <sheetDataSet>
      <sheetData sheetId="0"/>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demonstrativo"/>
      <sheetName val="Demonstrativo de despesas"/>
      <sheetName val="Macros"/>
      <sheetName val="ATW"/>
      <sheetName val="Travar"/>
      <sheetName val="Selecionar funcionário"/>
      <sheetName val="Intl Data Table"/>
      <sheetName val="TemplateInformation"/>
    </sheetNames>
    <sheetDataSet>
      <sheetData sheetId="0" refreshError="1"/>
      <sheetData sheetId="1" refreshError="1">
        <row r="21">
          <cell r="F21">
            <v>0.21</v>
          </cell>
          <cell r="G21" t="b">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CRONOGRAMA"/>
      <sheetName val="BDI"/>
      <sheetName val="Planilhas aux."/>
      <sheetName val="INSUMOS"/>
      <sheetName val="PLANILHA 0S1"/>
      <sheetName val="CRONOFIFINAC OS1 VER 2"/>
      <sheetName val="CRONOFIFINAC OS2 VER 2"/>
      <sheetName val="CRONOFIFINAC OS2 SITIA"/>
      <sheetName val="PLANILHA OS2 "/>
      <sheetName val="CRONO FISICOFINAC OS3 "/>
      <sheetName val="PLANILHA OS3"/>
      <sheetName val="CRONOFIFINAC OS4"/>
      <sheetName val="PLANILHA OS4"/>
      <sheetName val="CRONOFIFINAC OS5 "/>
      <sheetName val="PLANILHA OS5"/>
      <sheetName val="CRONOFIFINAC OS7 "/>
      <sheetName val="PLANILHA OS7"/>
      <sheetName val="EQUIPAM BELEM"/>
      <sheetName val="O.S.12"/>
      <sheetName val="OS2BRAN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OTACILIO AGRA" id="{E7C3719B-E8EA-4154-BCB3-D43609C4DAB5}" userId="66dd99b1507bf1f5" providerId="Windows Live"/>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7" dT="2022-05-21T13:55:38.93" personId="{E7C3719B-E8EA-4154-BCB3-D43609C4DAB5}" id="{6CE318E4-E116-42BE-8470-EBA85B0B2192}">
    <text>SICRO/DNIT</text>
  </threadedComment>
  <threadedComment ref="E124" dT="2021-11-29T13:10:28.94" personId="{E7C3719B-E8EA-4154-BCB3-D43609C4DAB5}" id="{053244C6-27EA-4BFA-94D0-687C5C10E010}">
    <text>Preço ANP out/21 Mato Grosso</text>
  </threadedComment>
</ThreadedComments>
</file>

<file path=xl/threadedComments/threadedComment2.xml><?xml version="1.0" encoding="utf-8"?>
<ThreadedComments xmlns="http://schemas.microsoft.com/office/spreadsheetml/2018/threadedcomments" xmlns:x="http://schemas.openxmlformats.org/spreadsheetml/2006/main">
  <threadedComment ref="AC9" dT="2021-02-11T01:31:09.49" personId="{E7C3719B-E8EA-4154-BCB3-D43609C4DAB5}" id="{7E2013EC-1C21-44F1-8F7B-484E839E7D9A}">
    <text>Produção 50 m de rede / dia (8 horas)
Bomba de 6,41cv 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P293"/>
  <sheetViews>
    <sheetView view="pageBreakPreview" topLeftCell="A207" zoomScale="55" zoomScaleNormal="60" zoomScaleSheetLayoutView="55" workbookViewId="0">
      <selection activeCell="N273" sqref="N273"/>
    </sheetView>
  </sheetViews>
  <sheetFormatPr defaultColWidth="9.28515625" defaultRowHeight="25.5"/>
  <cols>
    <col min="1" max="2" width="4.42578125" style="264" customWidth="1"/>
    <col min="3" max="3" width="16.7109375" style="264" customWidth="1"/>
    <col min="4" max="4" width="18" style="264" bestFit="1" customWidth="1"/>
    <col min="5" max="5" width="30.5703125" style="264" bestFit="1" customWidth="1"/>
    <col min="6" max="6" width="100.7109375" style="264" customWidth="1"/>
    <col min="7" max="8" width="20.7109375" style="264" customWidth="1"/>
    <col min="9" max="9" width="25" style="264" customWidth="1"/>
    <col min="10" max="10" width="24.28515625" style="264" customWidth="1"/>
    <col min="11" max="11" width="30.7109375" style="264" customWidth="1"/>
    <col min="12" max="12" width="28.28515625" style="264" bestFit="1" customWidth="1"/>
    <col min="13" max="13" width="38.42578125" style="264" customWidth="1"/>
    <col min="14" max="14" width="14.7109375" style="264" bestFit="1" customWidth="1"/>
    <col min="15" max="15" width="15.7109375" style="264" customWidth="1"/>
    <col min="16" max="16" width="16.28515625" style="264" customWidth="1"/>
    <col min="17" max="16384" width="9.28515625" style="264"/>
  </cols>
  <sheetData>
    <row r="1" spans="1:16" ht="25.15" hidden="1" customHeight="1">
      <c r="A1" s="453"/>
      <c r="B1" s="454"/>
      <c r="C1" s="1437"/>
      <c r="D1" s="1438"/>
      <c r="E1" s="1438"/>
      <c r="F1" s="1438"/>
      <c r="G1" s="1438"/>
      <c r="H1" s="1438"/>
      <c r="I1" s="1438"/>
      <c r="J1" s="1438"/>
      <c r="K1" s="1439"/>
    </row>
    <row r="2" spans="1:16" ht="25.15" hidden="1" customHeight="1">
      <c r="A2" s="455"/>
      <c r="C2" s="456"/>
      <c r="D2" s="297"/>
      <c r="E2" s="297"/>
      <c r="F2" s="297"/>
      <c r="G2" s="297"/>
      <c r="H2" s="297"/>
      <c r="I2" s="297"/>
      <c r="J2" s="297"/>
      <c r="K2" s="1440"/>
    </row>
    <row r="3" spans="1:16" ht="25.15" hidden="1" customHeight="1">
      <c r="A3" s="455"/>
      <c r="C3" s="456"/>
      <c r="D3" s="297"/>
      <c r="E3" s="297"/>
      <c r="F3" s="297"/>
      <c r="G3" s="297"/>
      <c r="H3" s="297"/>
      <c r="I3" s="297"/>
      <c r="J3" s="297"/>
      <c r="K3" s="1440"/>
    </row>
    <row r="4" spans="1:16" ht="25.15" customHeight="1">
      <c r="A4" s="455"/>
      <c r="C4" s="456"/>
      <c r="D4" s="297"/>
      <c r="E4" s="297"/>
      <c r="F4" s="297"/>
      <c r="G4" s="297"/>
      <c r="H4" s="297"/>
      <c r="I4" s="297"/>
      <c r="J4" s="297"/>
      <c r="K4" s="1442" t="s">
        <v>1458</v>
      </c>
    </row>
    <row r="5" spans="1:16" ht="28.15" customHeight="1">
      <c r="A5" s="455"/>
      <c r="C5" s="1580" t="s">
        <v>18</v>
      </c>
      <c r="D5" s="1578"/>
      <c r="E5" s="1578"/>
      <c r="F5" s="1578"/>
      <c r="G5" s="1578"/>
      <c r="H5" s="1578"/>
      <c r="I5" s="1578"/>
      <c r="J5" s="1578"/>
      <c r="K5" s="1441" t="s">
        <v>1887</v>
      </c>
    </row>
    <row r="6" spans="1:16" ht="28.15" customHeight="1">
      <c r="A6" s="455"/>
      <c r="C6" s="1581" t="s">
        <v>187</v>
      </c>
      <c r="D6" s="1582"/>
      <c r="E6" s="1582"/>
      <c r="F6" s="1582"/>
      <c r="G6" s="1582"/>
      <c r="H6" s="1582"/>
      <c r="I6" s="1582"/>
      <c r="J6" s="1582"/>
      <c r="K6" s="1441" t="s">
        <v>1888</v>
      </c>
    </row>
    <row r="7" spans="1:16" ht="28.15" customHeight="1">
      <c r="A7" s="455"/>
      <c r="C7" s="1581" t="s">
        <v>17</v>
      </c>
      <c r="D7" s="1582"/>
      <c r="E7" s="1582"/>
      <c r="F7" s="1582"/>
      <c r="G7" s="1582"/>
      <c r="H7" s="1582"/>
      <c r="I7" s="1582"/>
      <c r="J7" s="1582"/>
      <c r="K7" s="1441" t="s">
        <v>1889</v>
      </c>
    </row>
    <row r="8" spans="1:16" ht="25.15" customHeight="1">
      <c r="A8" s="455"/>
      <c r="C8" s="405"/>
      <c r="D8" s="406"/>
      <c r="E8" s="406"/>
      <c r="F8" s="406"/>
      <c r="G8" s="406"/>
      <c r="H8" s="406"/>
      <c r="I8" s="406"/>
      <c r="J8" s="406"/>
      <c r="K8" s="1441" t="s">
        <v>1890</v>
      </c>
    </row>
    <row r="9" spans="1:16" ht="30" customHeight="1">
      <c r="A9" s="455"/>
      <c r="C9" s="311" t="s">
        <v>567</v>
      </c>
      <c r="D9" s="1583" t="s">
        <v>1813</v>
      </c>
      <c r="E9" s="1583"/>
      <c r="F9" s="1583"/>
      <c r="G9" s="1583"/>
      <c r="H9" s="1583"/>
      <c r="I9" s="1583"/>
      <c r="J9" s="1583"/>
      <c r="K9" s="1584"/>
    </row>
    <row r="10" spans="1:16" ht="50.25" customHeight="1">
      <c r="A10" s="455"/>
      <c r="C10" s="1585" t="s">
        <v>568</v>
      </c>
      <c r="D10" s="1586"/>
      <c r="E10" s="1447">
        <f>K279</f>
        <v>59288144.700000003</v>
      </c>
      <c r="F10" s="1578" t="str">
        <f>L279</f>
        <v>CINQUENTA E NOVE MILHÕES, DUZENTOS E OITENTA E OITO MIL, CENTO E QUARENTA E QUATRO REAIS E SETENTA CENTAVOS</v>
      </c>
      <c r="G10" s="1578"/>
      <c r="H10" s="1578"/>
      <c r="I10" s="1578"/>
      <c r="J10" s="1578"/>
      <c r="K10" s="1579"/>
    </row>
    <row r="11" spans="1:16" ht="30" hidden="1" customHeight="1">
      <c r="A11" s="455"/>
      <c r="C11" s="1575" t="s">
        <v>1726</v>
      </c>
      <c r="D11" s="1576"/>
      <c r="E11" s="1576"/>
      <c r="F11" s="1576"/>
      <c r="G11" s="1576"/>
      <c r="H11" s="1576"/>
      <c r="I11" s="1576"/>
      <c r="J11" s="1576"/>
      <c r="K11" s="1577"/>
    </row>
    <row r="12" spans="1:16" ht="25.15" customHeight="1" thickBot="1">
      <c r="A12" s="455"/>
      <c r="C12" s="1541"/>
      <c r="D12" s="1542"/>
      <c r="E12" s="1542"/>
      <c r="F12" s="1542"/>
      <c r="G12" s="1542"/>
      <c r="H12" s="1542"/>
      <c r="I12" s="1542"/>
      <c r="J12" s="1542"/>
      <c r="K12" s="1543"/>
    </row>
    <row r="13" spans="1:16" ht="36.75" customHeight="1" thickTop="1" thickBot="1">
      <c r="A13" s="455"/>
      <c r="C13" s="1565" t="s">
        <v>23</v>
      </c>
      <c r="D13" s="1566"/>
      <c r="E13" s="1566"/>
      <c r="F13" s="1566"/>
      <c r="G13" s="1566"/>
      <c r="H13" s="1566"/>
      <c r="I13" s="1566"/>
      <c r="J13" s="1566"/>
      <c r="K13" s="1567"/>
    </row>
    <row r="14" spans="1:16" ht="8.1" customHeight="1" thickTop="1">
      <c r="A14" s="455"/>
      <c r="C14" s="1548"/>
      <c r="D14" s="1549"/>
      <c r="E14" s="1549"/>
      <c r="F14" s="1549"/>
      <c r="G14" s="1549"/>
      <c r="H14" s="1549"/>
      <c r="I14" s="1549"/>
      <c r="J14" s="1549"/>
      <c r="K14" s="1550"/>
    </row>
    <row r="15" spans="1:16" ht="51">
      <c r="A15" s="455"/>
      <c r="C15" s="1573" t="s">
        <v>6</v>
      </c>
      <c r="D15" s="1544" t="s">
        <v>183</v>
      </c>
      <c r="E15" s="1544" t="s">
        <v>508</v>
      </c>
      <c r="F15" s="1544" t="s">
        <v>5</v>
      </c>
      <c r="G15" s="1546" t="s">
        <v>148</v>
      </c>
      <c r="H15" s="1546" t="s">
        <v>21</v>
      </c>
      <c r="I15" s="1546" t="s">
        <v>24</v>
      </c>
      <c r="J15" s="308" t="s">
        <v>236</v>
      </c>
      <c r="K15" s="1547" t="s">
        <v>369</v>
      </c>
      <c r="M15" s="265"/>
      <c r="N15" s="266"/>
      <c r="O15" s="266"/>
      <c r="P15" s="266"/>
    </row>
    <row r="16" spans="1:16">
      <c r="A16" s="455"/>
      <c r="C16" s="1574"/>
      <c r="D16" s="1545"/>
      <c r="E16" s="1545"/>
      <c r="F16" s="1545"/>
      <c r="G16" s="1546"/>
      <c r="H16" s="1546"/>
      <c r="I16" s="1546"/>
      <c r="J16" s="1443">
        <v>0.27460000000000001</v>
      </c>
      <c r="K16" s="1547"/>
      <c r="M16" s="265"/>
      <c r="N16" s="266"/>
      <c r="O16" s="266"/>
      <c r="P16" s="266"/>
    </row>
    <row r="17" spans="1:16" ht="30" customHeight="1">
      <c r="A17" s="455"/>
      <c r="C17" s="505">
        <v>1</v>
      </c>
      <c r="D17" s="507"/>
      <c r="E17" s="507"/>
      <c r="F17" s="509" t="s">
        <v>1</v>
      </c>
      <c r="G17" s="1571"/>
      <c r="H17" s="1571"/>
      <c r="I17" s="1571"/>
      <c r="J17" s="1571"/>
      <c r="K17" s="1572"/>
      <c r="M17" s="1552"/>
      <c r="N17" s="1551"/>
      <c r="O17" s="1551"/>
      <c r="P17" s="1551"/>
    </row>
    <row r="18" spans="1:16" ht="39.950000000000003" customHeight="1">
      <c r="A18" s="455"/>
      <c r="C18" s="267" t="s">
        <v>19</v>
      </c>
      <c r="D18" s="268" t="s">
        <v>184</v>
      </c>
      <c r="E18" s="269">
        <v>11340</v>
      </c>
      <c r="F18" s="270" t="s">
        <v>253</v>
      </c>
      <c r="G18" s="271">
        <v>18</v>
      </c>
      <c r="H18" s="272" t="s">
        <v>2</v>
      </c>
      <c r="I18" s="273">
        <v>191.45</v>
      </c>
      <c r="J18" s="274">
        <f t="shared" ref="J18:J22" si="0">I18*(1+$J$16)</f>
        <v>244.02</v>
      </c>
      <c r="K18" s="275">
        <f t="shared" ref="K18:K22" si="1">G18*J18</f>
        <v>4392.3599999999997</v>
      </c>
      <c r="M18" s="1552"/>
      <c r="N18" s="1551"/>
      <c r="O18" s="1551"/>
      <c r="P18" s="1551"/>
    </row>
    <row r="19" spans="1:16" ht="45" hidden="1" customHeight="1">
      <c r="A19" s="455"/>
      <c r="C19" s="267" t="s">
        <v>20</v>
      </c>
      <c r="D19" s="268" t="s">
        <v>184</v>
      </c>
      <c r="E19" s="269">
        <v>10005</v>
      </c>
      <c r="F19" s="270" t="s">
        <v>444</v>
      </c>
      <c r="G19" s="271"/>
      <c r="H19" s="272" t="s">
        <v>2</v>
      </c>
      <c r="I19" s="273">
        <v>433.79</v>
      </c>
      <c r="J19" s="274">
        <f t="shared" si="0"/>
        <v>552.91</v>
      </c>
      <c r="K19" s="275">
        <f t="shared" si="1"/>
        <v>0</v>
      </c>
      <c r="M19" s="265"/>
      <c r="N19" s="266"/>
      <c r="O19" s="266"/>
      <c r="P19" s="266"/>
    </row>
    <row r="20" spans="1:16" ht="39.950000000000003" customHeight="1">
      <c r="A20" s="455"/>
      <c r="C20" s="267" t="s">
        <v>20</v>
      </c>
      <c r="D20" s="268" t="s">
        <v>186</v>
      </c>
      <c r="E20" s="269">
        <v>99063</v>
      </c>
      <c r="F20" s="270" t="s">
        <v>509</v>
      </c>
      <c r="G20" s="271">
        <f>'MC-PAV'!C56</f>
        <v>19050</v>
      </c>
      <c r="H20" s="272" t="s">
        <v>3</v>
      </c>
      <c r="I20" s="273">
        <v>8.27</v>
      </c>
      <c r="J20" s="274">
        <f t="shared" si="0"/>
        <v>10.54</v>
      </c>
      <c r="K20" s="275">
        <f t="shared" si="1"/>
        <v>200787</v>
      </c>
      <c r="M20" s="265"/>
      <c r="N20" s="266"/>
      <c r="O20" s="266"/>
      <c r="P20" s="266"/>
    </row>
    <row r="21" spans="1:16" ht="45" hidden="1" customHeight="1">
      <c r="A21" s="455"/>
      <c r="C21" s="267" t="s">
        <v>443</v>
      </c>
      <c r="D21" s="268" t="s">
        <v>185</v>
      </c>
      <c r="E21" s="269" t="s">
        <v>355</v>
      </c>
      <c r="F21" s="270" t="s">
        <v>359</v>
      </c>
      <c r="G21" s="271"/>
      <c r="H21" s="269" t="s">
        <v>286</v>
      </c>
      <c r="I21" s="273">
        <f>'CPU I'!G28</f>
        <v>55732.5</v>
      </c>
      <c r="J21" s="274">
        <f t="shared" si="0"/>
        <v>71036.639999999999</v>
      </c>
      <c r="K21" s="275">
        <f t="shared" si="1"/>
        <v>0</v>
      </c>
      <c r="M21" s="265"/>
      <c r="N21" s="266"/>
      <c r="O21" s="266"/>
      <c r="P21" s="266"/>
    </row>
    <row r="22" spans="1:16" ht="39.950000000000003" customHeight="1">
      <c r="A22" s="455"/>
      <c r="C22" s="267" t="s">
        <v>354</v>
      </c>
      <c r="D22" s="268" t="s">
        <v>185</v>
      </c>
      <c r="E22" s="276" t="s">
        <v>355</v>
      </c>
      <c r="F22" s="277" t="s">
        <v>368</v>
      </c>
      <c r="G22" s="271">
        <v>1</v>
      </c>
      <c r="H22" s="269" t="s">
        <v>286</v>
      </c>
      <c r="I22" s="273">
        <f>'CPU - 1'!G28</f>
        <v>29280</v>
      </c>
      <c r="J22" s="274">
        <f t="shared" si="0"/>
        <v>37320.29</v>
      </c>
      <c r="K22" s="275">
        <f t="shared" si="1"/>
        <v>37320.29</v>
      </c>
      <c r="M22" s="1552"/>
      <c r="N22" s="1551"/>
      <c r="O22" s="1551"/>
      <c r="P22" s="1551"/>
    </row>
    <row r="23" spans="1:16" ht="30" customHeight="1">
      <c r="A23" s="455"/>
      <c r="C23" s="1568" t="s">
        <v>8</v>
      </c>
      <c r="D23" s="1569"/>
      <c r="E23" s="1569"/>
      <c r="F23" s="1569"/>
      <c r="G23" s="1569"/>
      <c r="H23" s="1569"/>
      <c r="I23" s="1569"/>
      <c r="J23" s="1570"/>
      <c r="K23" s="294">
        <f>SUM(K18:K22)</f>
        <v>242499.65</v>
      </c>
      <c r="M23" s="1552"/>
      <c r="N23" s="1551"/>
      <c r="O23" s="1551"/>
      <c r="P23" s="1551"/>
    </row>
    <row r="24" spans="1:16" ht="30" customHeight="1">
      <c r="A24" s="455"/>
      <c r="C24" s="505">
        <v>2</v>
      </c>
      <c r="D24" s="508"/>
      <c r="E24" s="508"/>
      <c r="F24" s="509" t="s">
        <v>370</v>
      </c>
      <c r="G24" s="1571"/>
      <c r="H24" s="1571"/>
      <c r="I24" s="1571"/>
      <c r="J24" s="1571"/>
      <c r="K24" s="1572"/>
      <c r="M24" s="1552"/>
      <c r="N24" s="1551"/>
      <c r="O24" s="1551"/>
      <c r="P24" s="1551"/>
    </row>
    <row r="25" spans="1:16" ht="39.950000000000003" customHeight="1">
      <c r="A25" s="455"/>
      <c r="C25" s="267" t="s">
        <v>4</v>
      </c>
      <c r="D25" s="278" t="s">
        <v>184</v>
      </c>
      <c r="E25" s="276" t="s">
        <v>220</v>
      </c>
      <c r="F25" s="279" t="s">
        <v>221</v>
      </c>
      <c r="G25" s="280">
        <f>'MC-PAV'!F56</f>
        <v>805</v>
      </c>
      <c r="H25" s="272" t="s">
        <v>0</v>
      </c>
      <c r="I25" s="281">
        <v>291.3</v>
      </c>
      <c r="J25" s="274">
        <f>I25*(1+$J$16)</f>
        <v>371.29</v>
      </c>
      <c r="K25" s="275">
        <f>G25*J25</f>
        <v>298888.45</v>
      </c>
      <c r="M25" s="1552"/>
      <c r="N25" s="1551"/>
      <c r="O25" s="1551"/>
      <c r="P25" s="1551"/>
    </row>
    <row r="26" spans="1:16" ht="39.950000000000003" customHeight="1">
      <c r="A26" s="455"/>
      <c r="C26" s="267" t="s">
        <v>1010</v>
      </c>
      <c r="D26" s="282" t="s">
        <v>184</v>
      </c>
      <c r="E26" s="276" t="s">
        <v>371</v>
      </c>
      <c r="F26" s="279" t="s">
        <v>372</v>
      </c>
      <c r="G26" s="280">
        <f>'MC-PAV'!L56+G28+G27*0.0025+G29*0.25+G30*0.5+G31*0.05+G32*0.05+G33*0.01+G34*(PI()*0.05^2)+G35*(PI()*0.36^2+G36*(PI()*0.05^2)+G37*(0.1*0.05*10)+G38*(0.1*0.1*10))+G39+G40</f>
        <v>4068.91</v>
      </c>
      <c r="H26" s="272" t="s">
        <v>0</v>
      </c>
      <c r="I26" s="281">
        <v>126.85</v>
      </c>
      <c r="J26" s="274">
        <f>I26*(1+$J$16)</f>
        <v>161.68</v>
      </c>
      <c r="K26" s="275">
        <f>G26*J26</f>
        <v>657861.37</v>
      </c>
      <c r="M26" s="1552"/>
      <c r="N26" s="1551"/>
      <c r="O26" s="1551"/>
      <c r="P26" s="1551"/>
    </row>
    <row r="27" spans="1:16" ht="39.950000000000003" customHeight="1">
      <c r="A27" s="455"/>
      <c r="C27" s="267" t="s">
        <v>1018</v>
      </c>
      <c r="D27" s="282" t="s">
        <v>184</v>
      </c>
      <c r="E27" s="276" t="s">
        <v>1568</v>
      </c>
      <c r="F27" s="279" t="s">
        <v>1569</v>
      </c>
      <c r="G27" s="280">
        <v>200</v>
      </c>
      <c r="H27" s="272" t="s">
        <v>2</v>
      </c>
      <c r="I27" s="281">
        <v>29.09</v>
      </c>
      <c r="J27" s="274">
        <f t="shared" ref="J27:J40" si="2">I27*(1+$J$16)</f>
        <v>37.08</v>
      </c>
      <c r="K27" s="275">
        <f t="shared" ref="K27:K33" si="3">G27*J27</f>
        <v>7416</v>
      </c>
      <c r="M27" s="1552"/>
      <c r="N27" s="1551"/>
      <c r="O27" s="1551"/>
      <c r="P27" s="1551"/>
    </row>
    <row r="28" spans="1:16" ht="39.950000000000003" customHeight="1">
      <c r="A28" s="455"/>
      <c r="C28" s="267" t="s">
        <v>1564</v>
      </c>
      <c r="D28" s="282" t="s">
        <v>1588</v>
      </c>
      <c r="E28" s="276" t="s">
        <v>1589</v>
      </c>
      <c r="F28" s="279" t="s">
        <v>1590</v>
      </c>
      <c r="G28" s="280">
        <f>G209*2*0.15</f>
        <v>150</v>
      </c>
      <c r="H28" s="272" t="s">
        <v>0</v>
      </c>
      <c r="I28" s="281">
        <v>68.84</v>
      </c>
      <c r="J28" s="274">
        <f t="shared" si="2"/>
        <v>87.74</v>
      </c>
      <c r="K28" s="275">
        <f t="shared" ref="K28" si="4">G28*J28</f>
        <v>13161</v>
      </c>
      <c r="M28" s="1552"/>
      <c r="N28" s="1551"/>
      <c r="O28" s="1551"/>
      <c r="P28" s="1551"/>
    </row>
    <row r="29" spans="1:16" ht="39.950000000000003" customHeight="1">
      <c r="A29" s="455"/>
      <c r="C29" s="267" t="s">
        <v>1565</v>
      </c>
      <c r="D29" s="282" t="s">
        <v>184</v>
      </c>
      <c r="E29" s="276" t="s">
        <v>1570</v>
      </c>
      <c r="F29" s="279" t="s">
        <v>1572</v>
      </c>
      <c r="G29" s="280">
        <v>10</v>
      </c>
      <c r="H29" s="272" t="s">
        <v>739</v>
      </c>
      <c r="I29" s="281">
        <v>10.83</v>
      </c>
      <c r="J29" s="274">
        <f t="shared" si="2"/>
        <v>13.8</v>
      </c>
      <c r="K29" s="275">
        <f t="shared" si="3"/>
        <v>138</v>
      </c>
      <c r="M29" s="1552"/>
      <c r="N29" s="1551"/>
      <c r="O29" s="1551"/>
      <c r="P29" s="1551"/>
    </row>
    <row r="30" spans="1:16" ht="39.950000000000003" customHeight="1">
      <c r="A30" s="455"/>
      <c r="C30" s="267" t="s">
        <v>1566</v>
      </c>
      <c r="D30" s="282" t="s">
        <v>184</v>
      </c>
      <c r="E30" s="276" t="s">
        <v>1571</v>
      </c>
      <c r="F30" s="279" t="s">
        <v>1573</v>
      </c>
      <c r="G30" s="280">
        <v>10</v>
      </c>
      <c r="H30" s="272" t="s">
        <v>739</v>
      </c>
      <c r="I30" s="281">
        <v>54.84</v>
      </c>
      <c r="J30" s="274">
        <f t="shared" si="2"/>
        <v>69.900000000000006</v>
      </c>
      <c r="K30" s="275">
        <f t="shared" si="3"/>
        <v>699</v>
      </c>
      <c r="M30" s="1552"/>
      <c r="N30" s="1551"/>
      <c r="O30" s="1551"/>
      <c r="P30" s="1551"/>
    </row>
    <row r="31" spans="1:16" ht="39.950000000000003" customHeight="1">
      <c r="A31" s="455"/>
      <c r="C31" s="267" t="s">
        <v>1567</v>
      </c>
      <c r="D31" s="282" t="s">
        <v>184</v>
      </c>
      <c r="E31" s="276" t="s">
        <v>1574</v>
      </c>
      <c r="F31" s="279" t="s">
        <v>1575</v>
      </c>
      <c r="G31" s="280">
        <f>G27</f>
        <v>200</v>
      </c>
      <c r="H31" s="272" t="s">
        <v>2</v>
      </c>
      <c r="I31" s="281">
        <v>31.36</v>
      </c>
      <c r="J31" s="274">
        <f t="shared" si="2"/>
        <v>39.97</v>
      </c>
      <c r="K31" s="275">
        <f t="shared" si="3"/>
        <v>7994</v>
      </c>
      <c r="M31" s="1552"/>
      <c r="N31" s="1551"/>
      <c r="O31" s="1551"/>
      <c r="P31" s="1551"/>
    </row>
    <row r="32" spans="1:16" ht="39.950000000000003" customHeight="1">
      <c r="A32" s="455"/>
      <c r="C32" s="267" t="s">
        <v>1577</v>
      </c>
      <c r="D32" s="282" t="s">
        <v>184</v>
      </c>
      <c r="E32" s="276" t="s">
        <v>1576</v>
      </c>
      <c r="F32" s="279" t="s">
        <v>1578</v>
      </c>
      <c r="G32" s="280">
        <f>G31</f>
        <v>200</v>
      </c>
      <c r="H32" s="272" t="s">
        <v>2</v>
      </c>
      <c r="I32" s="281">
        <v>5.59</v>
      </c>
      <c r="J32" s="274">
        <f t="shared" si="2"/>
        <v>7.13</v>
      </c>
      <c r="K32" s="275">
        <f t="shared" si="3"/>
        <v>1426</v>
      </c>
      <c r="M32" s="1552"/>
      <c r="N32" s="1551"/>
      <c r="O32" s="1551"/>
      <c r="P32" s="1551"/>
    </row>
    <row r="33" spans="1:16" ht="39.950000000000003" customHeight="1">
      <c r="A33" s="455"/>
      <c r="C33" s="267" t="s">
        <v>1587</v>
      </c>
      <c r="D33" s="282" t="s">
        <v>184</v>
      </c>
      <c r="E33" s="276" t="s">
        <v>1579</v>
      </c>
      <c r="F33" s="279" t="s">
        <v>1580</v>
      </c>
      <c r="G33" s="280">
        <f>G27</f>
        <v>200</v>
      </c>
      <c r="H33" s="272" t="s">
        <v>2</v>
      </c>
      <c r="I33" s="281">
        <v>3.2</v>
      </c>
      <c r="J33" s="274">
        <f t="shared" si="2"/>
        <v>4.08</v>
      </c>
      <c r="K33" s="275">
        <f t="shared" si="3"/>
        <v>816</v>
      </c>
      <c r="M33" s="1552"/>
      <c r="N33" s="1551"/>
      <c r="O33" s="1551"/>
      <c r="P33" s="1551"/>
    </row>
    <row r="34" spans="1:16" ht="39.950000000000003" customHeight="1">
      <c r="A34" s="455"/>
      <c r="C34" s="267" t="s">
        <v>1591</v>
      </c>
      <c r="D34" s="282" t="s">
        <v>1588</v>
      </c>
      <c r="E34" s="276" t="s">
        <v>1597</v>
      </c>
      <c r="F34" s="279" t="s">
        <v>1598</v>
      </c>
      <c r="G34" s="280">
        <v>1000</v>
      </c>
      <c r="H34" s="272" t="s">
        <v>3</v>
      </c>
      <c r="I34" s="281">
        <v>8.9499999999999993</v>
      </c>
      <c r="J34" s="274">
        <f t="shared" si="2"/>
        <v>11.41</v>
      </c>
      <c r="K34" s="275">
        <f t="shared" ref="K34" si="5">G34*J34</f>
        <v>11410</v>
      </c>
      <c r="M34" s="1552"/>
      <c r="N34" s="1551"/>
      <c r="O34" s="1551"/>
      <c r="P34" s="1551"/>
    </row>
    <row r="35" spans="1:16" ht="39.950000000000003" customHeight="1">
      <c r="A35" s="455"/>
      <c r="C35" s="267" t="s">
        <v>1592</v>
      </c>
      <c r="D35" s="282" t="s">
        <v>1588</v>
      </c>
      <c r="E35" s="276" t="s">
        <v>1599</v>
      </c>
      <c r="F35" s="279" t="s">
        <v>1600</v>
      </c>
      <c r="G35" s="280">
        <v>300</v>
      </c>
      <c r="H35" s="272" t="s">
        <v>3</v>
      </c>
      <c r="I35" s="281">
        <v>83.34</v>
      </c>
      <c r="J35" s="274">
        <f t="shared" si="2"/>
        <v>106.23</v>
      </c>
      <c r="K35" s="275">
        <f t="shared" ref="K35:K40" si="6">G35*J35</f>
        <v>31869</v>
      </c>
      <c r="M35" s="1552"/>
      <c r="N35" s="1551"/>
      <c r="O35" s="1551"/>
      <c r="P35" s="1551"/>
    </row>
    <row r="36" spans="1:16" ht="39.950000000000003" customHeight="1">
      <c r="A36" s="455"/>
      <c r="C36" s="267" t="s">
        <v>1593</v>
      </c>
      <c r="D36" s="282" t="s">
        <v>1588</v>
      </c>
      <c r="E36" s="276" t="s">
        <v>1601</v>
      </c>
      <c r="F36" s="279" t="s">
        <v>1602</v>
      </c>
      <c r="G36" s="280">
        <v>500</v>
      </c>
      <c r="H36" s="272" t="s">
        <v>3</v>
      </c>
      <c r="I36" s="281">
        <v>4.8499999999999996</v>
      </c>
      <c r="J36" s="274">
        <f t="shared" si="2"/>
        <v>6.18</v>
      </c>
      <c r="K36" s="275">
        <f t="shared" si="6"/>
        <v>3090</v>
      </c>
      <c r="M36" s="1552"/>
      <c r="N36" s="1551"/>
      <c r="O36" s="1551"/>
      <c r="P36" s="1551"/>
    </row>
    <row r="37" spans="1:16" ht="39.950000000000003" customHeight="1">
      <c r="A37" s="455"/>
      <c r="C37" s="267" t="s">
        <v>1594</v>
      </c>
      <c r="D37" s="282" t="s">
        <v>1588</v>
      </c>
      <c r="E37" s="276" t="s">
        <v>1609</v>
      </c>
      <c r="F37" s="279" t="s">
        <v>1610</v>
      </c>
      <c r="G37" s="280">
        <v>15</v>
      </c>
      <c r="H37" s="272" t="s">
        <v>1611</v>
      </c>
      <c r="I37" s="281">
        <v>41.67</v>
      </c>
      <c r="J37" s="274">
        <f t="shared" si="2"/>
        <v>53.11</v>
      </c>
      <c r="K37" s="275">
        <f t="shared" si="6"/>
        <v>796.65</v>
      </c>
      <c r="M37" s="1552"/>
      <c r="N37" s="1551"/>
      <c r="O37" s="1551"/>
      <c r="P37" s="1551"/>
    </row>
    <row r="38" spans="1:16" ht="39.950000000000003" customHeight="1">
      <c r="A38" s="455"/>
      <c r="C38" s="267" t="s">
        <v>1595</v>
      </c>
      <c r="D38" s="282" t="s">
        <v>1588</v>
      </c>
      <c r="E38" s="276" t="s">
        <v>1613</v>
      </c>
      <c r="F38" s="279" t="s">
        <v>1612</v>
      </c>
      <c r="G38" s="280">
        <v>15</v>
      </c>
      <c r="H38" s="272" t="s">
        <v>1611</v>
      </c>
      <c r="I38" s="281">
        <v>40.29</v>
      </c>
      <c r="J38" s="274">
        <f t="shared" si="2"/>
        <v>51.35</v>
      </c>
      <c r="K38" s="275">
        <f t="shared" si="6"/>
        <v>770.25</v>
      </c>
      <c r="M38" s="1552"/>
      <c r="N38" s="1551"/>
      <c r="O38" s="1551"/>
      <c r="P38" s="1551"/>
    </row>
    <row r="39" spans="1:16" ht="51.75" customHeight="1">
      <c r="A39" s="455"/>
      <c r="C39" s="267" t="s">
        <v>1596</v>
      </c>
      <c r="D39" s="278" t="s">
        <v>186</v>
      </c>
      <c r="E39" s="276" t="s">
        <v>1663</v>
      </c>
      <c r="F39" s="279" t="s">
        <v>1662</v>
      </c>
      <c r="G39" s="280">
        <f>'MC-PONTE'!L114+'MC-PONTE'!L378*0.3*0.3+'MC-PONTE'!L431+'MC-PONTE'!L487+'MC-PONTE'!L547</f>
        <v>150.61000000000001</v>
      </c>
      <c r="H39" s="272" t="s">
        <v>0</v>
      </c>
      <c r="I39" s="281">
        <v>146.12</v>
      </c>
      <c r="J39" s="274">
        <f t="shared" ref="J39" si="7">I39*(1+$J$16)</f>
        <v>186.24</v>
      </c>
      <c r="K39" s="275">
        <f t="shared" ref="K39" si="8">G39*J39</f>
        <v>28049.61</v>
      </c>
      <c r="M39" s="1552"/>
      <c r="N39" s="1551"/>
      <c r="O39" s="1551"/>
      <c r="P39" s="1551"/>
    </row>
    <row r="40" spans="1:16" ht="57.75" customHeight="1">
      <c r="A40" s="455"/>
      <c r="C40" s="267" t="s">
        <v>1661</v>
      </c>
      <c r="D40" s="278" t="s">
        <v>186</v>
      </c>
      <c r="E40" s="276" t="s">
        <v>1664</v>
      </c>
      <c r="F40" s="279" t="s">
        <v>1665</v>
      </c>
      <c r="G40" s="280">
        <f>'MC-PONTE'!L368+'MC-PONTE'!L298</f>
        <v>68.7</v>
      </c>
      <c r="H40" s="272" t="s">
        <v>0</v>
      </c>
      <c r="I40" s="281">
        <v>68.05</v>
      </c>
      <c r="J40" s="274">
        <f t="shared" si="2"/>
        <v>86.74</v>
      </c>
      <c r="K40" s="275">
        <f t="shared" si="6"/>
        <v>5959.04</v>
      </c>
      <c r="M40" s="1552"/>
      <c r="N40" s="1551"/>
      <c r="O40" s="1551"/>
      <c r="P40" s="1551"/>
    </row>
    <row r="41" spans="1:16" ht="30" customHeight="1">
      <c r="A41" s="455"/>
      <c r="C41" s="1568" t="s">
        <v>373</v>
      </c>
      <c r="D41" s="1569"/>
      <c r="E41" s="1569"/>
      <c r="F41" s="1569"/>
      <c r="G41" s="1569"/>
      <c r="H41" s="1569"/>
      <c r="I41" s="1569"/>
      <c r="J41" s="1570"/>
      <c r="K41" s="294">
        <f>SUM(K25:K40)</f>
        <v>1070344.3700000001</v>
      </c>
      <c r="M41" s="1552"/>
      <c r="N41" s="1551"/>
      <c r="O41" s="1551"/>
      <c r="P41" s="1551"/>
    </row>
    <row r="42" spans="1:16" ht="30" customHeight="1">
      <c r="A42" s="455"/>
      <c r="C42" s="505">
        <v>3</v>
      </c>
      <c r="D42" s="506"/>
      <c r="E42" s="506"/>
      <c r="F42" s="308" t="s">
        <v>666</v>
      </c>
      <c r="G42" s="1553"/>
      <c r="H42" s="1553"/>
      <c r="I42" s="1553"/>
      <c r="J42" s="1553"/>
      <c r="K42" s="1554"/>
      <c r="M42" s="265"/>
      <c r="N42" s="266"/>
      <c r="O42" s="266"/>
      <c r="P42" s="266"/>
    </row>
    <row r="43" spans="1:16" ht="39.950000000000003" customHeight="1">
      <c r="A43" s="455"/>
      <c r="C43" s="283" t="s">
        <v>9</v>
      </c>
      <c r="D43" s="278" t="s">
        <v>184</v>
      </c>
      <c r="E43" s="276">
        <v>30011</v>
      </c>
      <c r="F43" s="279" t="s">
        <v>579</v>
      </c>
      <c r="G43" s="280">
        <f>'MC-PAV'!G56</f>
        <v>563.5</v>
      </c>
      <c r="H43" s="272" t="s">
        <v>0</v>
      </c>
      <c r="I43" s="281">
        <v>172.43</v>
      </c>
      <c r="J43" s="274">
        <f>I43*(1+$J$16)</f>
        <v>219.78</v>
      </c>
      <c r="K43" s="275">
        <f>G43*J43</f>
        <v>123846.03</v>
      </c>
      <c r="M43" s="265"/>
      <c r="N43" s="266"/>
      <c r="O43" s="266"/>
      <c r="P43" s="266"/>
    </row>
    <row r="44" spans="1:16" ht="76.5">
      <c r="A44" s="455"/>
      <c r="C44" s="283" t="s">
        <v>28</v>
      </c>
      <c r="D44" s="278" t="s">
        <v>186</v>
      </c>
      <c r="E44" s="276" t="s">
        <v>29</v>
      </c>
      <c r="F44" s="279" t="s">
        <v>205</v>
      </c>
      <c r="G44" s="280">
        <f>'MC-PAV'!H56</f>
        <v>8050</v>
      </c>
      <c r="H44" s="272" t="s">
        <v>2</v>
      </c>
      <c r="I44" s="281">
        <v>88.69</v>
      </c>
      <c r="J44" s="274">
        <f>I44*(1+$J$16)</f>
        <v>113.04</v>
      </c>
      <c r="K44" s="275">
        <f>G44*J44</f>
        <v>909972</v>
      </c>
      <c r="M44" s="265"/>
      <c r="N44" s="266"/>
      <c r="O44" s="266"/>
      <c r="P44" s="266"/>
    </row>
    <row r="45" spans="1:16" ht="51">
      <c r="A45" s="455"/>
      <c r="C45" s="283" t="s">
        <v>65</v>
      </c>
      <c r="D45" s="278" t="s">
        <v>186</v>
      </c>
      <c r="E45" s="276" t="s">
        <v>149</v>
      </c>
      <c r="F45" s="279" t="s">
        <v>150</v>
      </c>
      <c r="G45" s="280">
        <f>'MC-PAV'!I56</f>
        <v>881.5</v>
      </c>
      <c r="H45" s="271" t="s">
        <v>0</v>
      </c>
      <c r="I45" s="541">
        <v>15.91</v>
      </c>
      <c r="J45" s="274">
        <f>I45*(1+$J$16)</f>
        <v>20.28</v>
      </c>
      <c r="K45" s="275">
        <f>G45*J45</f>
        <v>17876.82</v>
      </c>
      <c r="M45" s="265"/>
      <c r="N45" s="266"/>
      <c r="O45" s="266"/>
      <c r="P45" s="266"/>
    </row>
    <row r="46" spans="1:16" ht="51">
      <c r="A46" s="455"/>
      <c r="C46" s="283" t="s">
        <v>1669</v>
      </c>
      <c r="D46" s="278" t="s">
        <v>186</v>
      </c>
      <c r="E46" s="276" t="s">
        <v>62</v>
      </c>
      <c r="F46" s="279" t="s">
        <v>63</v>
      </c>
      <c r="G46" s="280">
        <f>'MC-PAV'!K56</f>
        <v>20500</v>
      </c>
      <c r="H46" s="269" t="s">
        <v>3</v>
      </c>
      <c r="I46" s="281">
        <v>37.770000000000003</v>
      </c>
      <c r="J46" s="274">
        <f>I46*(1+$J$16)</f>
        <v>48.14</v>
      </c>
      <c r="K46" s="275">
        <f>G46*J46</f>
        <v>986870</v>
      </c>
    </row>
    <row r="47" spans="1:16" ht="51">
      <c r="A47" s="455"/>
      <c r="C47" s="283" t="s">
        <v>1671</v>
      </c>
      <c r="D47" s="278" t="s">
        <v>186</v>
      </c>
      <c r="E47" s="1444" t="s">
        <v>1727</v>
      </c>
      <c r="F47" s="284" t="s">
        <v>64</v>
      </c>
      <c r="G47" s="280">
        <f>'MC-PAV'!J56</f>
        <v>20500</v>
      </c>
      <c r="H47" s="269" t="s">
        <v>3</v>
      </c>
      <c r="I47" s="274">
        <v>44.34</v>
      </c>
      <c r="J47" s="274">
        <f>I47*(1+$J$16)</f>
        <v>56.52</v>
      </c>
      <c r="K47" s="275">
        <f>G47*J47</f>
        <v>1158660</v>
      </c>
    </row>
    <row r="48" spans="1:16" ht="30" customHeight="1">
      <c r="A48" s="455"/>
      <c r="C48" s="1555" t="s">
        <v>11</v>
      </c>
      <c r="D48" s="1556"/>
      <c r="E48" s="1556"/>
      <c r="F48" s="1556"/>
      <c r="G48" s="1556"/>
      <c r="H48" s="1556"/>
      <c r="I48" s="1556"/>
      <c r="J48" s="1556"/>
      <c r="K48" s="294">
        <f>SUM(K43:K47)</f>
        <v>3197224.85</v>
      </c>
    </row>
    <row r="49" spans="1:11" ht="30" customHeight="1">
      <c r="A49" s="455"/>
      <c r="C49" s="306">
        <v>4</v>
      </c>
      <c r="D49" s="307"/>
      <c r="E49" s="307"/>
      <c r="F49" s="308" t="s">
        <v>665</v>
      </c>
      <c r="G49" s="1553"/>
      <c r="H49" s="1553"/>
      <c r="I49" s="1553"/>
      <c r="J49" s="1553"/>
      <c r="K49" s="1554"/>
    </row>
    <row r="50" spans="1:11" ht="39.950000000000003" customHeight="1">
      <c r="A50" s="455"/>
      <c r="C50" s="285" t="s">
        <v>31</v>
      </c>
      <c r="D50" s="286" t="s">
        <v>184</v>
      </c>
      <c r="E50" s="1445">
        <v>180720</v>
      </c>
      <c r="F50" s="287" t="s">
        <v>573</v>
      </c>
      <c r="G50" s="271">
        <f>'MC-DRE'!E55</f>
        <v>630</v>
      </c>
      <c r="H50" s="269" t="s">
        <v>286</v>
      </c>
      <c r="I50" s="288">
        <v>159.61000000000001</v>
      </c>
      <c r="J50" s="274">
        <f t="shared" ref="J50:J119" si="9">I50*(1+$J$16)</f>
        <v>203.44</v>
      </c>
      <c r="K50" s="275">
        <f t="shared" ref="K50:K119" si="10">G50*J50</f>
        <v>128167.2</v>
      </c>
    </row>
    <row r="51" spans="1:11" ht="39.950000000000003" customHeight="1">
      <c r="A51" s="455"/>
      <c r="C51" s="289" t="s">
        <v>376</v>
      </c>
      <c r="D51" s="278" t="s">
        <v>184</v>
      </c>
      <c r="E51" s="276" t="s">
        <v>447</v>
      </c>
      <c r="F51" s="277" t="s">
        <v>448</v>
      </c>
      <c r="G51" s="271">
        <f>'MC-DRE'!H55</f>
        <v>666.79</v>
      </c>
      <c r="H51" s="272" t="s">
        <v>0</v>
      </c>
      <c r="I51" s="288">
        <v>10.79</v>
      </c>
      <c r="J51" s="274">
        <f t="shared" si="9"/>
        <v>13.75</v>
      </c>
      <c r="K51" s="275">
        <f t="shared" si="10"/>
        <v>9168.36</v>
      </c>
    </row>
    <row r="52" spans="1:11" ht="73.5" customHeight="1">
      <c r="A52" s="455"/>
      <c r="C52" s="309" t="s">
        <v>377</v>
      </c>
      <c r="D52" s="278" t="s">
        <v>186</v>
      </c>
      <c r="E52" s="269">
        <v>100980</v>
      </c>
      <c r="F52" s="279" t="s">
        <v>302</v>
      </c>
      <c r="G52" s="271">
        <f>'MC-DRE'!I55</f>
        <v>490.49</v>
      </c>
      <c r="H52" s="272" t="s">
        <v>0</v>
      </c>
      <c r="I52" s="290">
        <v>6.31</v>
      </c>
      <c r="J52" s="274">
        <f t="shared" si="9"/>
        <v>8.0399999999999991</v>
      </c>
      <c r="K52" s="275">
        <f t="shared" si="10"/>
        <v>3943.54</v>
      </c>
    </row>
    <row r="53" spans="1:11" ht="49.5" customHeight="1">
      <c r="A53" s="455"/>
      <c r="C53" s="289" t="s">
        <v>378</v>
      </c>
      <c r="D53" s="282" t="s">
        <v>186</v>
      </c>
      <c r="E53" s="276" t="s">
        <v>304</v>
      </c>
      <c r="F53" s="279" t="s">
        <v>305</v>
      </c>
      <c r="G53" s="271">
        <f>'MC-DRE'!J55</f>
        <v>6131.13</v>
      </c>
      <c r="H53" s="272" t="s">
        <v>228</v>
      </c>
      <c r="I53" s="288">
        <v>2.71</v>
      </c>
      <c r="J53" s="274">
        <f t="shared" si="9"/>
        <v>3.45</v>
      </c>
      <c r="K53" s="275">
        <f t="shared" si="10"/>
        <v>21152.400000000001</v>
      </c>
    </row>
    <row r="54" spans="1:11" ht="51" customHeight="1">
      <c r="A54" s="455"/>
      <c r="C54" s="309" t="s">
        <v>379</v>
      </c>
      <c r="D54" s="278" t="s">
        <v>186</v>
      </c>
      <c r="E54" s="269">
        <v>101616</v>
      </c>
      <c r="F54" s="284" t="s">
        <v>225</v>
      </c>
      <c r="G54" s="271">
        <f>'MC-DRE'!K55</f>
        <v>617.4</v>
      </c>
      <c r="H54" s="272" t="s">
        <v>2</v>
      </c>
      <c r="I54" s="288">
        <v>5.77</v>
      </c>
      <c r="J54" s="274">
        <f t="shared" si="9"/>
        <v>7.35</v>
      </c>
      <c r="K54" s="275">
        <f t="shared" si="10"/>
        <v>4537.8900000000003</v>
      </c>
    </row>
    <row r="55" spans="1:11" ht="39.950000000000003" customHeight="1">
      <c r="A55" s="455"/>
      <c r="C55" s="289" t="s">
        <v>380</v>
      </c>
      <c r="D55" s="278" t="s">
        <v>184</v>
      </c>
      <c r="E55" s="269">
        <v>260278</v>
      </c>
      <c r="F55" s="279" t="s">
        <v>299</v>
      </c>
      <c r="G55" s="271">
        <f>'MC-DRE'!L55</f>
        <v>617.4</v>
      </c>
      <c r="H55" s="271" t="s">
        <v>2</v>
      </c>
      <c r="I55" s="290">
        <v>47.54</v>
      </c>
      <c r="J55" s="274">
        <f t="shared" si="9"/>
        <v>60.59</v>
      </c>
      <c r="K55" s="275">
        <f t="shared" si="10"/>
        <v>37408.269999999997</v>
      </c>
    </row>
    <row r="56" spans="1:11" ht="39.950000000000003" customHeight="1">
      <c r="A56" s="455"/>
      <c r="C56" s="309" t="s">
        <v>381</v>
      </c>
      <c r="D56" s="278" t="s">
        <v>184</v>
      </c>
      <c r="E56" s="269">
        <v>30011</v>
      </c>
      <c r="F56" s="279" t="s">
        <v>446</v>
      </c>
      <c r="G56" s="271">
        <f>'MC-DRE'!N55</f>
        <v>411.36</v>
      </c>
      <c r="H56" s="272" t="s">
        <v>0</v>
      </c>
      <c r="I56" s="290">
        <f>I43</f>
        <v>172.43</v>
      </c>
      <c r="J56" s="274">
        <f t="shared" si="9"/>
        <v>219.78</v>
      </c>
      <c r="K56" s="275">
        <f t="shared" si="10"/>
        <v>90408.7</v>
      </c>
    </row>
    <row r="57" spans="1:11" ht="78" customHeight="1">
      <c r="A57" s="455"/>
      <c r="C57" s="289" t="s">
        <v>382</v>
      </c>
      <c r="D57" s="282" t="s">
        <v>186</v>
      </c>
      <c r="E57" s="276" t="s">
        <v>301</v>
      </c>
      <c r="F57" s="279" t="s">
        <v>534</v>
      </c>
      <c r="G57" s="271">
        <f>'MC-DRE'!O55</f>
        <v>176.3</v>
      </c>
      <c r="H57" s="272" t="s">
        <v>0</v>
      </c>
      <c r="I57" s="288">
        <v>17.32</v>
      </c>
      <c r="J57" s="274">
        <f t="shared" si="9"/>
        <v>22.08</v>
      </c>
      <c r="K57" s="275">
        <f t="shared" si="10"/>
        <v>3892.7</v>
      </c>
    </row>
    <row r="58" spans="1:11" ht="39.950000000000003" hidden="1" customHeight="1">
      <c r="A58" s="455"/>
      <c r="C58" s="309" t="s">
        <v>449</v>
      </c>
      <c r="D58" s="278" t="s">
        <v>186</v>
      </c>
      <c r="E58" s="269">
        <v>101579</v>
      </c>
      <c r="F58" s="279" t="s">
        <v>533</v>
      </c>
      <c r="G58" s="271">
        <f>'MC-DRE'!P55</f>
        <v>0</v>
      </c>
      <c r="H58" s="271" t="s">
        <v>2</v>
      </c>
      <c r="I58" s="290">
        <v>40.57</v>
      </c>
      <c r="J58" s="274">
        <f t="shared" si="9"/>
        <v>51.71</v>
      </c>
      <c r="K58" s="275">
        <f t="shared" si="10"/>
        <v>0</v>
      </c>
    </row>
    <row r="59" spans="1:11" ht="79.5" customHeight="1">
      <c r="A59" s="455"/>
      <c r="C59" s="289" t="s">
        <v>449</v>
      </c>
      <c r="D59" s="278" t="s">
        <v>186</v>
      </c>
      <c r="E59" s="276" t="s">
        <v>363</v>
      </c>
      <c r="F59" s="279" t="s">
        <v>364</v>
      </c>
      <c r="G59" s="271">
        <f>'MC-DRE'!Q55</f>
        <v>630</v>
      </c>
      <c r="H59" s="272" t="s">
        <v>3</v>
      </c>
      <c r="I59" s="288">
        <v>34.6</v>
      </c>
      <c r="J59" s="274">
        <f t="shared" si="9"/>
        <v>44.1</v>
      </c>
      <c r="K59" s="275">
        <f t="shared" si="10"/>
        <v>27783</v>
      </c>
    </row>
    <row r="60" spans="1:11" ht="39.950000000000003" customHeight="1">
      <c r="A60" s="455"/>
      <c r="C60" s="285" t="s">
        <v>32</v>
      </c>
      <c r="D60" s="291" t="s">
        <v>184</v>
      </c>
      <c r="E60" s="276" t="s">
        <v>445</v>
      </c>
      <c r="F60" s="293" t="s">
        <v>574</v>
      </c>
      <c r="G60" s="271">
        <f>'MC-DRE'!E98</f>
        <v>2415</v>
      </c>
      <c r="H60" s="269" t="s">
        <v>286</v>
      </c>
      <c r="I60" s="288">
        <v>239.62</v>
      </c>
      <c r="J60" s="274">
        <f t="shared" si="9"/>
        <v>305.42</v>
      </c>
      <c r="K60" s="275">
        <f t="shared" si="10"/>
        <v>737589.3</v>
      </c>
    </row>
    <row r="61" spans="1:11" ht="39.950000000000003" customHeight="1">
      <c r="A61" s="455"/>
      <c r="C61" s="289" t="s">
        <v>383</v>
      </c>
      <c r="D61" s="278" t="s">
        <v>184</v>
      </c>
      <c r="E61" s="276" t="s">
        <v>447</v>
      </c>
      <c r="F61" s="277" t="s">
        <v>448</v>
      </c>
      <c r="G61" s="271">
        <f>'MC-DRE'!H98</f>
        <v>21684.77</v>
      </c>
      <c r="H61" s="272" t="s">
        <v>0</v>
      </c>
      <c r="I61" s="288">
        <f>I51</f>
        <v>10.79</v>
      </c>
      <c r="J61" s="274">
        <f t="shared" si="9"/>
        <v>13.75</v>
      </c>
      <c r="K61" s="275">
        <f t="shared" si="10"/>
        <v>298165.59000000003</v>
      </c>
    </row>
    <row r="62" spans="1:11" ht="73.5" customHeight="1">
      <c r="A62" s="455"/>
      <c r="C62" s="289" t="s">
        <v>384</v>
      </c>
      <c r="D62" s="278" t="s">
        <v>186</v>
      </c>
      <c r="E62" s="269">
        <v>100980</v>
      </c>
      <c r="F62" s="279" t="s">
        <v>302</v>
      </c>
      <c r="G62" s="271">
        <f>'MC-DRE'!I98</f>
        <v>682.48</v>
      </c>
      <c r="H62" s="272" t="s">
        <v>0</v>
      </c>
      <c r="I62" s="288">
        <f t="shared" ref="I62:I68" si="11">I52</f>
        <v>6.31</v>
      </c>
      <c r="J62" s="274">
        <f t="shared" si="9"/>
        <v>8.0399999999999991</v>
      </c>
      <c r="K62" s="275">
        <f t="shared" si="10"/>
        <v>5487.14</v>
      </c>
    </row>
    <row r="63" spans="1:11" ht="51.75" customHeight="1">
      <c r="A63" s="455"/>
      <c r="C63" s="289" t="s">
        <v>385</v>
      </c>
      <c r="D63" s="282" t="s">
        <v>186</v>
      </c>
      <c r="E63" s="276" t="s">
        <v>304</v>
      </c>
      <c r="F63" s="279" t="s">
        <v>305</v>
      </c>
      <c r="G63" s="271">
        <f>'MC-DRE'!J98</f>
        <v>8531</v>
      </c>
      <c r="H63" s="272" t="s">
        <v>228</v>
      </c>
      <c r="I63" s="288">
        <f t="shared" si="11"/>
        <v>2.71</v>
      </c>
      <c r="J63" s="274">
        <f t="shared" si="9"/>
        <v>3.45</v>
      </c>
      <c r="K63" s="275">
        <f t="shared" si="10"/>
        <v>29431.95</v>
      </c>
    </row>
    <row r="64" spans="1:11" ht="56.25" customHeight="1">
      <c r="A64" s="455"/>
      <c r="C64" s="289" t="s">
        <v>386</v>
      </c>
      <c r="D64" s="278" t="s">
        <v>186</v>
      </c>
      <c r="E64" s="269">
        <v>101616</v>
      </c>
      <c r="F64" s="284" t="s">
        <v>225</v>
      </c>
      <c r="G64" s="271">
        <f>'MC-DRE'!K98</f>
        <v>2946.3</v>
      </c>
      <c r="H64" s="272" t="s">
        <v>2</v>
      </c>
      <c r="I64" s="288">
        <f t="shared" si="11"/>
        <v>5.77</v>
      </c>
      <c r="J64" s="274">
        <f t="shared" si="9"/>
        <v>7.35</v>
      </c>
      <c r="K64" s="275">
        <f t="shared" si="10"/>
        <v>21655.31</v>
      </c>
    </row>
    <row r="65" spans="1:11" ht="39.950000000000003" customHeight="1">
      <c r="A65" s="455"/>
      <c r="C65" s="289" t="s">
        <v>387</v>
      </c>
      <c r="D65" s="278" t="s">
        <v>184</v>
      </c>
      <c r="E65" s="269">
        <v>260278</v>
      </c>
      <c r="F65" s="279" t="s">
        <v>299</v>
      </c>
      <c r="G65" s="271">
        <f>'MC-DRE'!L98</f>
        <v>2946.3</v>
      </c>
      <c r="H65" s="271" t="s">
        <v>2</v>
      </c>
      <c r="I65" s="288">
        <f t="shared" si="11"/>
        <v>47.54</v>
      </c>
      <c r="J65" s="274">
        <f t="shared" si="9"/>
        <v>60.59</v>
      </c>
      <c r="K65" s="275">
        <f t="shared" si="10"/>
        <v>178516.32</v>
      </c>
    </row>
    <row r="66" spans="1:11" ht="39.950000000000003" customHeight="1">
      <c r="A66" s="455"/>
      <c r="C66" s="289" t="s">
        <v>388</v>
      </c>
      <c r="D66" s="278" t="s">
        <v>184</v>
      </c>
      <c r="E66" s="269">
        <v>30011</v>
      </c>
      <c r="F66" s="279" t="s">
        <v>446</v>
      </c>
      <c r="G66" s="271">
        <f>'MC-DRE'!N98</f>
        <v>14701.6</v>
      </c>
      <c r="H66" s="272" t="s">
        <v>0</v>
      </c>
      <c r="I66" s="288">
        <f t="shared" si="11"/>
        <v>172.43</v>
      </c>
      <c r="J66" s="274">
        <f t="shared" si="9"/>
        <v>219.78</v>
      </c>
      <c r="K66" s="275">
        <f t="shared" si="10"/>
        <v>3231117.65</v>
      </c>
    </row>
    <row r="67" spans="1:11" ht="90" customHeight="1">
      <c r="A67" s="455"/>
      <c r="C67" s="289" t="s">
        <v>389</v>
      </c>
      <c r="D67" s="282" t="s">
        <v>186</v>
      </c>
      <c r="E67" s="276" t="s">
        <v>301</v>
      </c>
      <c r="F67" s="279" t="s">
        <v>534</v>
      </c>
      <c r="G67" s="271">
        <f>'MC-DRE'!O98</f>
        <v>6300.69</v>
      </c>
      <c r="H67" s="272" t="s">
        <v>0</v>
      </c>
      <c r="I67" s="288">
        <f>I57</f>
        <v>17.32</v>
      </c>
      <c r="J67" s="274">
        <f t="shared" si="9"/>
        <v>22.08</v>
      </c>
      <c r="K67" s="275">
        <f t="shared" si="10"/>
        <v>139119.24</v>
      </c>
    </row>
    <row r="68" spans="1:11" ht="63" customHeight="1">
      <c r="A68" s="455"/>
      <c r="C68" s="289" t="s">
        <v>452</v>
      </c>
      <c r="D68" s="278" t="s">
        <v>186</v>
      </c>
      <c r="E68" s="269">
        <v>101579</v>
      </c>
      <c r="F68" s="279" t="s">
        <v>533</v>
      </c>
      <c r="G68" s="271">
        <f>'MC-DRE'!P98</f>
        <v>35548.800000000003</v>
      </c>
      <c r="H68" s="271" t="s">
        <v>2</v>
      </c>
      <c r="I68" s="288">
        <f t="shared" si="11"/>
        <v>40.57</v>
      </c>
      <c r="J68" s="274">
        <f t="shared" si="9"/>
        <v>51.71</v>
      </c>
      <c r="K68" s="275">
        <f t="shared" si="10"/>
        <v>1838228.45</v>
      </c>
    </row>
    <row r="69" spans="1:11" ht="87.75" customHeight="1">
      <c r="A69" s="455"/>
      <c r="C69" s="289" t="s">
        <v>453</v>
      </c>
      <c r="D69" s="282" t="s">
        <v>186</v>
      </c>
      <c r="E69" s="269">
        <v>92824</v>
      </c>
      <c r="F69" s="277" t="s">
        <v>365</v>
      </c>
      <c r="G69" s="271">
        <f>'MC-DRE'!Q98</f>
        <v>2415</v>
      </c>
      <c r="H69" s="272" t="s">
        <v>3</v>
      </c>
      <c r="I69" s="288">
        <v>55.38</v>
      </c>
      <c r="J69" s="274">
        <f t="shared" si="9"/>
        <v>70.59</v>
      </c>
      <c r="K69" s="275">
        <f t="shared" si="10"/>
        <v>170474.85</v>
      </c>
    </row>
    <row r="70" spans="1:11" ht="39.950000000000003" customHeight="1">
      <c r="A70" s="455"/>
      <c r="C70" s="285" t="s">
        <v>33</v>
      </c>
      <c r="D70" s="291" t="s">
        <v>184</v>
      </c>
      <c r="E70" s="276" t="s">
        <v>218</v>
      </c>
      <c r="F70" s="293" t="s">
        <v>575</v>
      </c>
      <c r="G70" s="271">
        <f>'MC-DRE'!E126</f>
        <v>900</v>
      </c>
      <c r="H70" s="269" t="s">
        <v>286</v>
      </c>
      <c r="I70" s="288">
        <v>384.82</v>
      </c>
      <c r="J70" s="274">
        <f t="shared" si="9"/>
        <v>490.49</v>
      </c>
      <c r="K70" s="275">
        <f t="shared" si="10"/>
        <v>441441</v>
      </c>
    </row>
    <row r="71" spans="1:11" ht="39.950000000000003" customHeight="1">
      <c r="A71" s="455"/>
      <c r="C71" s="289" t="s">
        <v>390</v>
      </c>
      <c r="D71" s="278" t="s">
        <v>184</v>
      </c>
      <c r="E71" s="276" t="s">
        <v>447</v>
      </c>
      <c r="F71" s="277" t="s">
        <v>448</v>
      </c>
      <c r="G71" s="271">
        <f>'MC-DRE'!H126</f>
        <v>5006.34</v>
      </c>
      <c r="H71" s="272" t="s">
        <v>0</v>
      </c>
      <c r="I71" s="288">
        <f>I51</f>
        <v>10.79</v>
      </c>
      <c r="J71" s="274">
        <f t="shared" si="9"/>
        <v>13.75</v>
      </c>
      <c r="K71" s="275">
        <f t="shared" si="10"/>
        <v>68837.179999999993</v>
      </c>
    </row>
    <row r="72" spans="1:11" ht="86.25" customHeight="1">
      <c r="A72" s="455"/>
      <c r="C72" s="289" t="s">
        <v>391</v>
      </c>
      <c r="D72" s="278" t="s">
        <v>186</v>
      </c>
      <c r="E72" s="269">
        <v>100980</v>
      </c>
      <c r="F72" s="279" t="s">
        <v>302</v>
      </c>
      <c r="G72" s="271">
        <f>'MC-DRE'!I126</f>
        <v>3640.09</v>
      </c>
      <c r="H72" s="272" t="s">
        <v>0</v>
      </c>
      <c r="I72" s="288">
        <f t="shared" ref="I72:I78" si="12">I52</f>
        <v>6.31</v>
      </c>
      <c r="J72" s="274">
        <f t="shared" si="9"/>
        <v>8.0399999999999991</v>
      </c>
      <c r="K72" s="275">
        <f t="shared" si="10"/>
        <v>29266.32</v>
      </c>
    </row>
    <row r="73" spans="1:11" ht="53.25" customHeight="1">
      <c r="A73" s="455"/>
      <c r="C73" s="289" t="s">
        <v>392</v>
      </c>
      <c r="D73" s="282" t="s">
        <v>186</v>
      </c>
      <c r="E73" s="276" t="s">
        <v>304</v>
      </c>
      <c r="F73" s="279" t="s">
        <v>305</v>
      </c>
      <c r="G73" s="271">
        <f>'MC-DRE'!J126</f>
        <v>45501.13</v>
      </c>
      <c r="H73" s="272" t="s">
        <v>228</v>
      </c>
      <c r="I73" s="288">
        <f t="shared" si="12"/>
        <v>2.71</v>
      </c>
      <c r="J73" s="274">
        <f t="shared" si="9"/>
        <v>3.45</v>
      </c>
      <c r="K73" s="275">
        <f t="shared" si="10"/>
        <v>156978.9</v>
      </c>
    </row>
    <row r="74" spans="1:11" ht="51.75" customHeight="1">
      <c r="A74" s="455"/>
      <c r="C74" s="289" t="s">
        <v>393</v>
      </c>
      <c r="D74" s="278" t="s">
        <v>186</v>
      </c>
      <c r="E74" s="269">
        <v>101616</v>
      </c>
      <c r="F74" s="284" t="s">
        <v>225</v>
      </c>
      <c r="G74" s="271">
        <f>'MC-DRE'!K126</f>
        <v>1314</v>
      </c>
      <c r="H74" s="272" t="s">
        <v>2</v>
      </c>
      <c r="I74" s="288">
        <f t="shared" si="12"/>
        <v>5.77</v>
      </c>
      <c r="J74" s="274">
        <f t="shared" si="9"/>
        <v>7.35</v>
      </c>
      <c r="K74" s="275">
        <f t="shared" si="10"/>
        <v>9657.9</v>
      </c>
    </row>
    <row r="75" spans="1:11" ht="39.950000000000003" customHeight="1">
      <c r="A75" s="455"/>
      <c r="C75" s="289" t="s">
        <v>394</v>
      </c>
      <c r="D75" s="278" t="s">
        <v>184</v>
      </c>
      <c r="E75" s="269">
        <v>260278</v>
      </c>
      <c r="F75" s="279" t="s">
        <v>299</v>
      </c>
      <c r="G75" s="271">
        <f>'MC-DRE'!L126</f>
        <v>1314</v>
      </c>
      <c r="H75" s="271" t="s">
        <v>2</v>
      </c>
      <c r="I75" s="288">
        <f t="shared" si="12"/>
        <v>47.54</v>
      </c>
      <c r="J75" s="274">
        <f t="shared" si="9"/>
        <v>60.59</v>
      </c>
      <c r="K75" s="275">
        <f t="shared" si="10"/>
        <v>79615.259999999995</v>
      </c>
    </row>
    <row r="76" spans="1:11" ht="39.950000000000003" customHeight="1">
      <c r="A76" s="455"/>
      <c r="C76" s="289" t="s">
        <v>395</v>
      </c>
      <c r="D76" s="278" t="s">
        <v>184</v>
      </c>
      <c r="E76" s="269">
        <v>30011</v>
      </c>
      <c r="F76" s="279" t="s">
        <v>446</v>
      </c>
      <c r="G76" s="271">
        <f>'MC-DRE'!N126</f>
        <v>3187.93</v>
      </c>
      <c r="H76" s="272" t="s">
        <v>0</v>
      </c>
      <c r="I76" s="288">
        <f t="shared" si="12"/>
        <v>172.43</v>
      </c>
      <c r="J76" s="274">
        <f t="shared" si="9"/>
        <v>219.78</v>
      </c>
      <c r="K76" s="275">
        <f t="shared" si="10"/>
        <v>700643.26</v>
      </c>
    </row>
    <row r="77" spans="1:11" ht="79.5" customHeight="1">
      <c r="A77" s="455"/>
      <c r="C77" s="289" t="s">
        <v>396</v>
      </c>
      <c r="D77" s="282" t="s">
        <v>186</v>
      </c>
      <c r="E77" s="276" t="s">
        <v>301</v>
      </c>
      <c r="F77" s="279" t="s">
        <v>534</v>
      </c>
      <c r="G77" s="271">
        <f>'MC-DRE'!O126</f>
        <v>1366.25</v>
      </c>
      <c r="H77" s="272" t="s">
        <v>0</v>
      </c>
      <c r="I77" s="288">
        <f t="shared" si="12"/>
        <v>17.32</v>
      </c>
      <c r="J77" s="274">
        <f t="shared" si="9"/>
        <v>22.08</v>
      </c>
      <c r="K77" s="275">
        <f t="shared" si="10"/>
        <v>30166.799999999999</v>
      </c>
    </row>
    <row r="78" spans="1:11" ht="69.75" customHeight="1">
      <c r="A78" s="455"/>
      <c r="C78" s="289" t="s">
        <v>454</v>
      </c>
      <c r="D78" s="278" t="s">
        <v>186</v>
      </c>
      <c r="E78" s="269">
        <v>101579</v>
      </c>
      <c r="F78" s="279" t="s">
        <v>533</v>
      </c>
      <c r="G78" s="271">
        <f>'MC-DRE'!P126</f>
        <v>2286</v>
      </c>
      <c r="H78" s="271" t="s">
        <v>2</v>
      </c>
      <c r="I78" s="288">
        <f t="shared" si="12"/>
        <v>40.57</v>
      </c>
      <c r="J78" s="274">
        <f t="shared" si="9"/>
        <v>51.71</v>
      </c>
      <c r="K78" s="275">
        <f t="shared" si="10"/>
        <v>118209.06</v>
      </c>
    </row>
    <row r="79" spans="1:11" ht="78" customHeight="1">
      <c r="A79" s="455"/>
      <c r="C79" s="289" t="s">
        <v>455</v>
      </c>
      <c r="D79" s="282" t="s">
        <v>186</v>
      </c>
      <c r="E79" s="1445">
        <v>92826</v>
      </c>
      <c r="F79" s="277" t="s">
        <v>366</v>
      </c>
      <c r="G79" s="271">
        <f>'MC-DRE'!Q126</f>
        <v>900</v>
      </c>
      <c r="H79" s="272" t="s">
        <v>3</v>
      </c>
      <c r="I79" s="288">
        <v>77.36</v>
      </c>
      <c r="J79" s="274">
        <f t="shared" si="9"/>
        <v>98.6</v>
      </c>
      <c r="K79" s="275">
        <f t="shared" si="10"/>
        <v>88740</v>
      </c>
    </row>
    <row r="80" spans="1:11" ht="39.950000000000003" customHeight="1">
      <c r="A80" s="455"/>
      <c r="C80" s="285" t="s">
        <v>303</v>
      </c>
      <c r="D80" s="291" t="s">
        <v>184</v>
      </c>
      <c r="E80" s="276" t="s">
        <v>219</v>
      </c>
      <c r="F80" s="293" t="s">
        <v>576</v>
      </c>
      <c r="G80" s="271">
        <f>'MC-DRE'!E154</f>
        <v>450</v>
      </c>
      <c r="H80" s="269" t="s">
        <v>286</v>
      </c>
      <c r="I80" s="288">
        <v>558.86</v>
      </c>
      <c r="J80" s="274">
        <f t="shared" si="9"/>
        <v>712.32</v>
      </c>
      <c r="K80" s="275">
        <f t="shared" si="10"/>
        <v>320544</v>
      </c>
    </row>
    <row r="81" spans="1:11" ht="39.950000000000003" customHeight="1">
      <c r="A81" s="455"/>
      <c r="C81" s="289" t="s">
        <v>397</v>
      </c>
      <c r="D81" s="278" t="s">
        <v>184</v>
      </c>
      <c r="E81" s="276" t="s">
        <v>447</v>
      </c>
      <c r="F81" s="277" t="s">
        <v>448</v>
      </c>
      <c r="G81" s="271">
        <f>'MC-DRE'!H154</f>
        <v>2241.4499999999998</v>
      </c>
      <c r="H81" s="272" t="s">
        <v>0</v>
      </c>
      <c r="I81" s="288">
        <f>I51</f>
        <v>10.79</v>
      </c>
      <c r="J81" s="274">
        <f t="shared" si="9"/>
        <v>13.75</v>
      </c>
      <c r="K81" s="275">
        <f t="shared" si="10"/>
        <v>30819.94</v>
      </c>
    </row>
    <row r="82" spans="1:11" ht="84.75" customHeight="1">
      <c r="A82" s="455"/>
      <c r="C82" s="289" t="s">
        <v>398</v>
      </c>
      <c r="D82" s="278" t="s">
        <v>186</v>
      </c>
      <c r="E82" s="269">
        <v>100980</v>
      </c>
      <c r="F82" s="279" t="s">
        <v>302</v>
      </c>
      <c r="G82" s="271">
        <f>'MC-DRE'!I154</f>
        <v>1674.99</v>
      </c>
      <c r="H82" s="272" t="s">
        <v>0</v>
      </c>
      <c r="I82" s="288">
        <f t="shared" ref="I82:I88" si="13">I52</f>
        <v>6.31</v>
      </c>
      <c r="J82" s="274">
        <f t="shared" si="9"/>
        <v>8.0399999999999991</v>
      </c>
      <c r="K82" s="275">
        <f t="shared" si="10"/>
        <v>13466.92</v>
      </c>
    </row>
    <row r="83" spans="1:11" ht="54.75" customHeight="1">
      <c r="A83" s="455"/>
      <c r="C83" s="289" t="s">
        <v>399</v>
      </c>
      <c r="D83" s="282" t="s">
        <v>186</v>
      </c>
      <c r="E83" s="276" t="s">
        <v>304</v>
      </c>
      <c r="F83" s="279" t="s">
        <v>305</v>
      </c>
      <c r="G83" s="271">
        <f>'MC-DRE'!J154</f>
        <v>20937.38</v>
      </c>
      <c r="H83" s="272" t="s">
        <v>228</v>
      </c>
      <c r="I83" s="288">
        <f t="shared" si="13"/>
        <v>2.71</v>
      </c>
      <c r="J83" s="274">
        <f t="shared" si="9"/>
        <v>3.45</v>
      </c>
      <c r="K83" s="275">
        <f t="shared" si="10"/>
        <v>72233.960000000006</v>
      </c>
    </row>
    <row r="84" spans="1:11" ht="49.5" customHeight="1">
      <c r="A84" s="455"/>
      <c r="C84" s="289" t="s">
        <v>400</v>
      </c>
      <c r="D84" s="278" t="s">
        <v>186</v>
      </c>
      <c r="E84" s="269">
        <v>101616</v>
      </c>
      <c r="F84" s="284" t="s">
        <v>225</v>
      </c>
      <c r="G84" s="271">
        <f>'MC-DRE'!K154</f>
        <v>765</v>
      </c>
      <c r="H84" s="272" t="s">
        <v>2</v>
      </c>
      <c r="I84" s="288">
        <f t="shared" si="13"/>
        <v>5.77</v>
      </c>
      <c r="J84" s="274">
        <f t="shared" si="9"/>
        <v>7.35</v>
      </c>
      <c r="K84" s="275">
        <f t="shared" si="10"/>
        <v>5622.75</v>
      </c>
    </row>
    <row r="85" spans="1:11" ht="39.950000000000003" customHeight="1">
      <c r="A85" s="455"/>
      <c r="C85" s="289" t="s">
        <v>401</v>
      </c>
      <c r="D85" s="278" t="s">
        <v>184</v>
      </c>
      <c r="E85" s="269">
        <v>260278</v>
      </c>
      <c r="F85" s="279" t="s">
        <v>299</v>
      </c>
      <c r="G85" s="271">
        <f>'MC-DRE'!L154</f>
        <v>765</v>
      </c>
      <c r="H85" s="271" t="s">
        <v>2</v>
      </c>
      <c r="I85" s="288">
        <f t="shared" si="13"/>
        <v>47.54</v>
      </c>
      <c r="J85" s="274">
        <f t="shared" si="9"/>
        <v>60.59</v>
      </c>
      <c r="K85" s="275">
        <f t="shared" si="10"/>
        <v>46351.35</v>
      </c>
    </row>
    <row r="86" spans="1:11" ht="39.950000000000003" customHeight="1">
      <c r="A86" s="455"/>
      <c r="C86" s="289" t="s">
        <v>402</v>
      </c>
      <c r="D86" s="278" t="s">
        <v>184</v>
      </c>
      <c r="E86" s="269">
        <v>30011</v>
      </c>
      <c r="F86" s="279" t="s">
        <v>446</v>
      </c>
      <c r="G86" s="271">
        <f>'MC-DRE'!N154</f>
        <v>1321.74</v>
      </c>
      <c r="H86" s="272" t="s">
        <v>0</v>
      </c>
      <c r="I86" s="288">
        <f t="shared" si="13"/>
        <v>172.43</v>
      </c>
      <c r="J86" s="274">
        <f t="shared" si="9"/>
        <v>219.78</v>
      </c>
      <c r="K86" s="275">
        <f t="shared" si="10"/>
        <v>290492.02</v>
      </c>
    </row>
    <row r="87" spans="1:11" ht="81" customHeight="1">
      <c r="A87" s="455"/>
      <c r="C87" s="289" t="s">
        <v>403</v>
      </c>
      <c r="D87" s="282" t="s">
        <v>186</v>
      </c>
      <c r="E87" s="276" t="s">
        <v>301</v>
      </c>
      <c r="F87" s="279" t="s">
        <v>534</v>
      </c>
      <c r="G87" s="271">
        <f>'MC-DRE'!O154</f>
        <v>566.46</v>
      </c>
      <c r="H87" s="272" t="s">
        <v>0</v>
      </c>
      <c r="I87" s="288">
        <f t="shared" si="13"/>
        <v>17.32</v>
      </c>
      <c r="J87" s="274">
        <f t="shared" si="9"/>
        <v>22.08</v>
      </c>
      <c r="K87" s="275">
        <f t="shared" si="10"/>
        <v>12507.44</v>
      </c>
    </row>
    <row r="88" spans="1:11" ht="60" customHeight="1">
      <c r="A88" s="455"/>
      <c r="C88" s="289" t="s">
        <v>456</v>
      </c>
      <c r="D88" s="278" t="s">
        <v>186</v>
      </c>
      <c r="E88" s="269">
        <v>101579</v>
      </c>
      <c r="F88" s="279" t="s">
        <v>533</v>
      </c>
      <c r="G88" s="271">
        <f>'MC-DRE'!P154</f>
        <v>879</v>
      </c>
      <c r="H88" s="271" t="s">
        <v>2</v>
      </c>
      <c r="I88" s="288">
        <f t="shared" si="13"/>
        <v>40.57</v>
      </c>
      <c r="J88" s="274">
        <f t="shared" si="9"/>
        <v>51.71</v>
      </c>
      <c r="K88" s="275">
        <f t="shared" si="10"/>
        <v>45453.09</v>
      </c>
    </row>
    <row r="89" spans="1:11" ht="72" customHeight="1">
      <c r="A89" s="455"/>
      <c r="C89" s="289" t="s">
        <v>457</v>
      </c>
      <c r="D89" s="282" t="s">
        <v>186</v>
      </c>
      <c r="E89" s="269">
        <v>92828</v>
      </c>
      <c r="F89" s="277" t="s">
        <v>367</v>
      </c>
      <c r="G89" s="271">
        <f>'MC-DRE'!Q154</f>
        <v>450</v>
      </c>
      <c r="H89" s="272" t="s">
        <v>3</v>
      </c>
      <c r="I89" s="288">
        <v>100.55</v>
      </c>
      <c r="J89" s="274">
        <f t="shared" si="9"/>
        <v>128.16</v>
      </c>
      <c r="K89" s="275">
        <f t="shared" si="10"/>
        <v>57672</v>
      </c>
    </row>
    <row r="90" spans="1:11" ht="39.950000000000003" hidden="1" customHeight="1">
      <c r="A90" s="455"/>
      <c r="C90" s="285" t="s">
        <v>404</v>
      </c>
      <c r="D90" s="291" t="s">
        <v>186</v>
      </c>
      <c r="E90" s="276" t="s">
        <v>374</v>
      </c>
      <c r="F90" s="293" t="s">
        <v>577</v>
      </c>
      <c r="G90" s="271">
        <f>'MC-DRE'!E182</f>
        <v>0</v>
      </c>
      <c r="H90" s="269" t="s">
        <v>286</v>
      </c>
      <c r="I90" s="288">
        <v>955.61</v>
      </c>
      <c r="J90" s="274">
        <f t="shared" si="9"/>
        <v>1218.02</v>
      </c>
      <c r="K90" s="275">
        <f t="shared" si="10"/>
        <v>0</v>
      </c>
    </row>
    <row r="91" spans="1:11" ht="39.950000000000003" hidden="1" customHeight="1">
      <c r="A91" s="455"/>
      <c r="C91" s="289" t="s">
        <v>405</v>
      </c>
      <c r="D91" s="278" t="s">
        <v>184</v>
      </c>
      <c r="E91" s="276" t="s">
        <v>447</v>
      </c>
      <c r="F91" s="277" t="s">
        <v>448</v>
      </c>
      <c r="G91" s="271">
        <f>'MC-DRE'!H182</f>
        <v>0</v>
      </c>
      <c r="H91" s="272" t="s">
        <v>0</v>
      </c>
      <c r="I91" s="288">
        <f>I51</f>
        <v>10.79</v>
      </c>
      <c r="J91" s="274">
        <f t="shared" si="9"/>
        <v>13.75</v>
      </c>
      <c r="K91" s="275">
        <f t="shared" si="10"/>
        <v>0</v>
      </c>
    </row>
    <row r="92" spans="1:11" ht="39.950000000000003" hidden="1" customHeight="1">
      <c r="A92" s="455"/>
      <c r="C92" s="289" t="s">
        <v>406</v>
      </c>
      <c r="D92" s="278" t="s">
        <v>186</v>
      </c>
      <c r="E92" s="269">
        <v>100980</v>
      </c>
      <c r="F92" s="279" t="s">
        <v>302</v>
      </c>
      <c r="G92" s="271">
        <f>'MC-DRE'!I182</f>
        <v>0</v>
      </c>
      <c r="H92" s="272" t="s">
        <v>0</v>
      </c>
      <c r="I92" s="288">
        <f t="shared" ref="I92:I98" si="14">I52</f>
        <v>6.31</v>
      </c>
      <c r="J92" s="274">
        <f t="shared" si="9"/>
        <v>8.0399999999999991</v>
      </c>
      <c r="K92" s="275">
        <f t="shared" si="10"/>
        <v>0</v>
      </c>
    </row>
    <row r="93" spans="1:11" ht="39.950000000000003" hidden="1" customHeight="1">
      <c r="A93" s="455"/>
      <c r="C93" s="289" t="s">
        <v>407</v>
      </c>
      <c r="D93" s="282" t="s">
        <v>186</v>
      </c>
      <c r="E93" s="276" t="s">
        <v>304</v>
      </c>
      <c r="F93" s="279" t="s">
        <v>305</v>
      </c>
      <c r="G93" s="271">
        <f>'MC-DRE'!J182</f>
        <v>0</v>
      </c>
      <c r="H93" s="272" t="s">
        <v>228</v>
      </c>
      <c r="I93" s="288">
        <f t="shared" si="14"/>
        <v>2.71</v>
      </c>
      <c r="J93" s="274">
        <f t="shared" si="9"/>
        <v>3.45</v>
      </c>
      <c r="K93" s="275">
        <f t="shared" si="10"/>
        <v>0</v>
      </c>
    </row>
    <row r="94" spans="1:11" ht="39.950000000000003" hidden="1" customHeight="1">
      <c r="A94" s="455"/>
      <c r="C94" s="289" t="s">
        <v>408</v>
      </c>
      <c r="D94" s="278" t="s">
        <v>186</v>
      </c>
      <c r="E94" s="269">
        <v>101616</v>
      </c>
      <c r="F94" s="284" t="s">
        <v>225</v>
      </c>
      <c r="G94" s="271">
        <f>'MC-DRE'!K182</f>
        <v>0</v>
      </c>
      <c r="H94" s="272" t="s">
        <v>2</v>
      </c>
      <c r="I94" s="288">
        <f t="shared" si="14"/>
        <v>5.77</v>
      </c>
      <c r="J94" s="274">
        <f t="shared" si="9"/>
        <v>7.35</v>
      </c>
      <c r="K94" s="275">
        <f t="shared" si="10"/>
        <v>0</v>
      </c>
    </row>
    <row r="95" spans="1:11" ht="39.950000000000003" hidden="1" customHeight="1">
      <c r="A95" s="455"/>
      <c r="C95" s="289" t="s">
        <v>409</v>
      </c>
      <c r="D95" s="278" t="s">
        <v>184</v>
      </c>
      <c r="E95" s="269">
        <v>260278</v>
      </c>
      <c r="F95" s="279" t="s">
        <v>299</v>
      </c>
      <c r="G95" s="271">
        <f>'MC-DRE'!L182</f>
        <v>0</v>
      </c>
      <c r="H95" s="271" t="s">
        <v>2</v>
      </c>
      <c r="I95" s="288">
        <f t="shared" si="14"/>
        <v>47.54</v>
      </c>
      <c r="J95" s="274">
        <f t="shared" si="9"/>
        <v>60.59</v>
      </c>
      <c r="K95" s="275">
        <f t="shared" si="10"/>
        <v>0</v>
      </c>
    </row>
    <row r="96" spans="1:11" ht="39.950000000000003" hidden="1" customHeight="1">
      <c r="A96" s="455"/>
      <c r="C96" s="289" t="s">
        <v>410</v>
      </c>
      <c r="D96" s="278" t="s">
        <v>184</v>
      </c>
      <c r="E96" s="269">
        <v>30011</v>
      </c>
      <c r="F96" s="279" t="s">
        <v>446</v>
      </c>
      <c r="G96" s="271">
        <f>'MC-DRE'!N182</f>
        <v>0</v>
      </c>
      <c r="H96" s="272" t="s">
        <v>0</v>
      </c>
      <c r="I96" s="288">
        <f t="shared" si="14"/>
        <v>172.43</v>
      </c>
      <c r="J96" s="274">
        <f t="shared" si="9"/>
        <v>219.78</v>
      </c>
      <c r="K96" s="275">
        <f t="shared" si="10"/>
        <v>0</v>
      </c>
    </row>
    <row r="97" spans="1:11" ht="39.950000000000003" hidden="1" customHeight="1">
      <c r="A97" s="455"/>
      <c r="C97" s="289" t="s">
        <v>411</v>
      </c>
      <c r="D97" s="282" t="s">
        <v>186</v>
      </c>
      <c r="E97" s="276" t="s">
        <v>301</v>
      </c>
      <c r="F97" s="279" t="s">
        <v>534</v>
      </c>
      <c r="G97" s="271">
        <f>'MC-DRE'!O182</f>
        <v>0</v>
      </c>
      <c r="H97" s="272" t="s">
        <v>0</v>
      </c>
      <c r="I97" s="288">
        <f t="shared" si="14"/>
        <v>17.32</v>
      </c>
      <c r="J97" s="274">
        <f t="shared" si="9"/>
        <v>22.08</v>
      </c>
      <c r="K97" s="275">
        <f t="shared" si="10"/>
        <v>0</v>
      </c>
    </row>
    <row r="98" spans="1:11" ht="39.950000000000003" hidden="1" customHeight="1">
      <c r="A98" s="455"/>
      <c r="C98" s="289" t="s">
        <v>458</v>
      </c>
      <c r="D98" s="278" t="s">
        <v>186</v>
      </c>
      <c r="E98" s="269">
        <v>101579</v>
      </c>
      <c r="F98" s="279" t="s">
        <v>533</v>
      </c>
      <c r="G98" s="271">
        <f>'MC-DRE'!P182</f>
        <v>0</v>
      </c>
      <c r="H98" s="271" t="s">
        <v>2</v>
      </c>
      <c r="I98" s="288">
        <f t="shared" si="14"/>
        <v>40.57</v>
      </c>
      <c r="J98" s="274">
        <f t="shared" si="9"/>
        <v>51.71</v>
      </c>
      <c r="K98" s="275">
        <f t="shared" si="10"/>
        <v>0</v>
      </c>
    </row>
    <row r="99" spans="1:11" ht="39.950000000000003" hidden="1" customHeight="1">
      <c r="A99" s="455"/>
      <c r="C99" s="289" t="s">
        <v>459</v>
      </c>
      <c r="D99" s="282" t="s">
        <v>186</v>
      </c>
      <c r="E99" s="269">
        <v>92830</v>
      </c>
      <c r="F99" s="277" t="s">
        <v>361</v>
      </c>
      <c r="G99" s="271">
        <f>'MC-DRE'!Q182</f>
        <v>0</v>
      </c>
      <c r="H99" s="272" t="s">
        <v>3</v>
      </c>
      <c r="I99" s="288">
        <v>204.09</v>
      </c>
      <c r="J99" s="274">
        <f t="shared" si="9"/>
        <v>260.13</v>
      </c>
      <c r="K99" s="275">
        <f t="shared" si="10"/>
        <v>0</v>
      </c>
    </row>
    <row r="100" spans="1:11" ht="39.950000000000003" hidden="1" customHeight="1">
      <c r="A100" s="455"/>
      <c r="C100" s="285" t="s">
        <v>412</v>
      </c>
      <c r="D100" s="291" t="s">
        <v>186</v>
      </c>
      <c r="E100" s="276" t="s">
        <v>375</v>
      </c>
      <c r="F100" s="293" t="s">
        <v>578</v>
      </c>
      <c r="G100" s="271">
        <f>'MC-DRE'!E210</f>
        <v>0</v>
      </c>
      <c r="H100" s="269" t="s">
        <v>286</v>
      </c>
      <c r="I100" s="288">
        <v>1451.26</v>
      </c>
      <c r="J100" s="274">
        <f t="shared" si="9"/>
        <v>1849.78</v>
      </c>
      <c r="K100" s="275">
        <f t="shared" si="10"/>
        <v>0</v>
      </c>
    </row>
    <row r="101" spans="1:11" ht="39.950000000000003" hidden="1" customHeight="1">
      <c r="A101" s="455"/>
      <c r="C101" s="289" t="s">
        <v>413</v>
      </c>
      <c r="D101" s="278" t="s">
        <v>184</v>
      </c>
      <c r="E101" s="276" t="s">
        <v>447</v>
      </c>
      <c r="F101" s="277" t="s">
        <v>448</v>
      </c>
      <c r="G101" s="271">
        <f>'MC-DRE'!H210</f>
        <v>0</v>
      </c>
      <c r="H101" s="272" t="s">
        <v>0</v>
      </c>
      <c r="I101" s="288">
        <f>I51</f>
        <v>10.79</v>
      </c>
      <c r="J101" s="274">
        <f t="shared" si="9"/>
        <v>13.75</v>
      </c>
      <c r="K101" s="275">
        <f t="shared" si="10"/>
        <v>0</v>
      </c>
    </row>
    <row r="102" spans="1:11" ht="39.950000000000003" hidden="1" customHeight="1">
      <c r="A102" s="455"/>
      <c r="C102" s="289" t="s">
        <v>414</v>
      </c>
      <c r="D102" s="278" t="s">
        <v>186</v>
      </c>
      <c r="E102" s="269">
        <v>100980</v>
      </c>
      <c r="F102" s="279" t="s">
        <v>302</v>
      </c>
      <c r="G102" s="271">
        <f>'MC-DRE'!I210</f>
        <v>0</v>
      </c>
      <c r="H102" s="272" t="s">
        <v>0</v>
      </c>
      <c r="I102" s="288">
        <f t="shared" ref="I102:I108" si="15">I52</f>
        <v>6.31</v>
      </c>
      <c r="J102" s="274">
        <f t="shared" si="9"/>
        <v>8.0399999999999991</v>
      </c>
      <c r="K102" s="275">
        <f t="shared" si="10"/>
        <v>0</v>
      </c>
    </row>
    <row r="103" spans="1:11" ht="39.950000000000003" hidden="1" customHeight="1">
      <c r="A103" s="455"/>
      <c r="C103" s="289" t="s">
        <v>415</v>
      </c>
      <c r="D103" s="282" t="s">
        <v>186</v>
      </c>
      <c r="E103" s="276" t="s">
        <v>304</v>
      </c>
      <c r="F103" s="279" t="s">
        <v>305</v>
      </c>
      <c r="G103" s="271">
        <f>'MC-DRE'!J210</f>
        <v>0</v>
      </c>
      <c r="H103" s="272" t="s">
        <v>228</v>
      </c>
      <c r="I103" s="288">
        <f t="shared" si="15"/>
        <v>2.71</v>
      </c>
      <c r="J103" s="274">
        <f t="shared" si="9"/>
        <v>3.45</v>
      </c>
      <c r="K103" s="275">
        <f t="shared" si="10"/>
        <v>0</v>
      </c>
    </row>
    <row r="104" spans="1:11" ht="39.950000000000003" hidden="1" customHeight="1">
      <c r="A104" s="455"/>
      <c r="C104" s="289" t="s">
        <v>416</v>
      </c>
      <c r="D104" s="278" t="s">
        <v>186</v>
      </c>
      <c r="E104" s="269">
        <v>101616</v>
      </c>
      <c r="F104" s="284" t="s">
        <v>225</v>
      </c>
      <c r="G104" s="271">
        <f>'MC-DRE'!K210</f>
        <v>0</v>
      </c>
      <c r="H104" s="272" t="s">
        <v>2</v>
      </c>
      <c r="I104" s="288">
        <f t="shared" si="15"/>
        <v>5.77</v>
      </c>
      <c r="J104" s="274">
        <f t="shared" si="9"/>
        <v>7.35</v>
      </c>
      <c r="K104" s="275">
        <f t="shared" si="10"/>
        <v>0</v>
      </c>
    </row>
    <row r="105" spans="1:11" ht="39.950000000000003" hidden="1" customHeight="1">
      <c r="A105" s="455"/>
      <c r="C105" s="289" t="s">
        <v>417</v>
      </c>
      <c r="D105" s="278" t="s">
        <v>184</v>
      </c>
      <c r="E105" s="269">
        <v>260278</v>
      </c>
      <c r="F105" s="279" t="s">
        <v>299</v>
      </c>
      <c r="G105" s="271">
        <f>'MC-DRE'!L210</f>
        <v>0</v>
      </c>
      <c r="H105" s="271" t="s">
        <v>2</v>
      </c>
      <c r="I105" s="288">
        <f t="shared" si="15"/>
        <v>47.54</v>
      </c>
      <c r="J105" s="274">
        <f t="shared" si="9"/>
        <v>60.59</v>
      </c>
      <c r="K105" s="275">
        <f t="shared" si="10"/>
        <v>0</v>
      </c>
    </row>
    <row r="106" spans="1:11" ht="39.950000000000003" hidden="1" customHeight="1">
      <c r="A106" s="455"/>
      <c r="C106" s="289" t="s">
        <v>418</v>
      </c>
      <c r="D106" s="278" t="s">
        <v>184</v>
      </c>
      <c r="E106" s="269">
        <v>30011</v>
      </c>
      <c r="F106" s="279" t="s">
        <v>446</v>
      </c>
      <c r="G106" s="271">
        <f>'MC-DRE'!N210</f>
        <v>0</v>
      </c>
      <c r="H106" s="272" t="s">
        <v>0</v>
      </c>
      <c r="I106" s="288">
        <f t="shared" si="15"/>
        <v>172.43</v>
      </c>
      <c r="J106" s="274">
        <f t="shared" si="9"/>
        <v>219.78</v>
      </c>
      <c r="K106" s="275">
        <f t="shared" si="10"/>
        <v>0</v>
      </c>
    </row>
    <row r="107" spans="1:11" ht="39.950000000000003" hidden="1" customHeight="1">
      <c r="A107" s="455"/>
      <c r="C107" s="289" t="s">
        <v>419</v>
      </c>
      <c r="D107" s="282" t="s">
        <v>186</v>
      </c>
      <c r="E107" s="276" t="s">
        <v>301</v>
      </c>
      <c r="F107" s="279" t="s">
        <v>534</v>
      </c>
      <c r="G107" s="271">
        <f>'MC-DRE'!O210</f>
        <v>0</v>
      </c>
      <c r="H107" s="272" t="s">
        <v>0</v>
      </c>
      <c r="I107" s="288">
        <f t="shared" si="15"/>
        <v>17.32</v>
      </c>
      <c r="J107" s="274">
        <f t="shared" si="9"/>
        <v>22.08</v>
      </c>
      <c r="K107" s="275">
        <f t="shared" si="10"/>
        <v>0</v>
      </c>
    </row>
    <row r="108" spans="1:11" ht="39.950000000000003" hidden="1" customHeight="1">
      <c r="A108" s="455"/>
      <c r="C108" s="289" t="s">
        <v>460</v>
      </c>
      <c r="D108" s="278" t="s">
        <v>186</v>
      </c>
      <c r="E108" s="269">
        <v>101579</v>
      </c>
      <c r="F108" s="279" t="s">
        <v>533</v>
      </c>
      <c r="G108" s="271">
        <f>'MC-DRE'!P210</f>
        <v>0</v>
      </c>
      <c r="H108" s="271" t="s">
        <v>2</v>
      </c>
      <c r="I108" s="288">
        <f t="shared" si="15"/>
        <v>40.57</v>
      </c>
      <c r="J108" s="274">
        <f t="shared" si="9"/>
        <v>51.71</v>
      </c>
      <c r="K108" s="275">
        <f t="shared" si="10"/>
        <v>0</v>
      </c>
    </row>
    <row r="109" spans="1:11" ht="39.950000000000003" hidden="1" customHeight="1">
      <c r="A109" s="455"/>
      <c r="C109" s="289" t="s">
        <v>461</v>
      </c>
      <c r="D109" s="282" t="s">
        <v>186</v>
      </c>
      <c r="E109" s="269">
        <v>92832</v>
      </c>
      <c r="F109" s="277" t="s">
        <v>362</v>
      </c>
      <c r="G109" s="271">
        <f>'MC-DRE'!Q210</f>
        <v>0</v>
      </c>
      <c r="H109" s="272" t="s">
        <v>3</v>
      </c>
      <c r="I109" s="288">
        <v>271.31</v>
      </c>
      <c r="J109" s="274">
        <f t="shared" si="9"/>
        <v>345.81</v>
      </c>
      <c r="K109" s="275">
        <f t="shared" si="10"/>
        <v>0</v>
      </c>
    </row>
    <row r="110" spans="1:11" ht="39.950000000000003" customHeight="1">
      <c r="A110" s="455"/>
      <c r="C110" s="285" t="s">
        <v>404</v>
      </c>
      <c r="D110" s="291"/>
      <c r="E110" s="276"/>
      <c r="F110" s="293" t="s">
        <v>226</v>
      </c>
      <c r="G110" s="271"/>
      <c r="H110" s="272"/>
      <c r="I110" s="288"/>
      <c r="J110" s="274"/>
      <c r="K110" s="275"/>
    </row>
    <row r="111" spans="1:11" ht="58.5" customHeight="1">
      <c r="A111" s="455"/>
      <c r="C111" s="289" t="s">
        <v>405</v>
      </c>
      <c r="D111" s="278" t="s">
        <v>186</v>
      </c>
      <c r="E111" s="276" t="s">
        <v>214</v>
      </c>
      <c r="F111" s="277" t="s">
        <v>215</v>
      </c>
      <c r="G111" s="271">
        <f>'MC-DRE'!C304</f>
        <v>126</v>
      </c>
      <c r="H111" s="269" t="s">
        <v>286</v>
      </c>
      <c r="I111" s="288">
        <v>1552.42</v>
      </c>
      <c r="J111" s="274">
        <f t="shared" si="9"/>
        <v>1978.71</v>
      </c>
      <c r="K111" s="275">
        <f t="shared" si="10"/>
        <v>249317.46</v>
      </c>
    </row>
    <row r="112" spans="1:11" ht="39.950000000000003" customHeight="1">
      <c r="A112" s="455"/>
      <c r="C112" s="285" t="s">
        <v>412</v>
      </c>
      <c r="D112" s="291"/>
      <c r="E112" s="276"/>
      <c r="F112" s="293" t="s">
        <v>420</v>
      </c>
      <c r="G112" s="271"/>
      <c r="H112" s="272"/>
      <c r="I112" s="288"/>
      <c r="J112" s="274"/>
      <c r="K112" s="275"/>
    </row>
    <row r="113" spans="1:12" ht="39.950000000000003" customHeight="1">
      <c r="A113" s="455"/>
      <c r="C113" s="289" t="s">
        <v>413</v>
      </c>
      <c r="D113" s="278" t="s">
        <v>1588</v>
      </c>
      <c r="E113" s="276" t="s">
        <v>1728</v>
      </c>
      <c r="F113" s="277" t="s">
        <v>421</v>
      </c>
      <c r="G113" s="271">
        <f>'MC-DRE'!I304</f>
        <v>126</v>
      </c>
      <c r="H113" s="269" t="s">
        <v>286</v>
      </c>
      <c r="I113" s="288">
        <v>177.28</v>
      </c>
      <c r="J113" s="274">
        <f t="shared" si="9"/>
        <v>225.96</v>
      </c>
      <c r="K113" s="275">
        <f t="shared" si="10"/>
        <v>28470.959999999999</v>
      </c>
      <c r="L113" s="264" t="s">
        <v>450</v>
      </c>
    </row>
    <row r="114" spans="1:12" ht="39.950000000000003" customHeight="1">
      <c r="A114" s="455"/>
      <c r="C114" s="285" t="s">
        <v>1891</v>
      </c>
      <c r="D114" s="291"/>
      <c r="E114" s="276"/>
      <c r="F114" s="293" t="s">
        <v>227</v>
      </c>
      <c r="G114" s="271"/>
      <c r="H114" s="272"/>
      <c r="I114" s="288"/>
      <c r="J114" s="274"/>
      <c r="K114" s="275"/>
    </row>
    <row r="115" spans="1:12" ht="39.950000000000003" customHeight="1">
      <c r="A115" s="455"/>
      <c r="C115" s="289" t="s">
        <v>1892</v>
      </c>
      <c r="D115" s="278" t="s">
        <v>184</v>
      </c>
      <c r="E115" s="276" t="s">
        <v>216</v>
      </c>
      <c r="F115" s="277" t="s">
        <v>217</v>
      </c>
      <c r="G115" s="271">
        <f>'MC-DRE'!C347</f>
        <v>63</v>
      </c>
      <c r="H115" s="269" t="s">
        <v>286</v>
      </c>
      <c r="I115" s="288">
        <v>6321.7</v>
      </c>
      <c r="J115" s="274">
        <f t="shared" si="9"/>
        <v>8057.64</v>
      </c>
      <c r="K115" s="275">
        <f t="shared" si="10"/>
        <v>507631.32</v>
      </c>
    </row>
    <row r="116" spans="1:12" ht="39.950000000000003" customHeight="1">
      <c r="A116" s="455"/>
      <c r="C116" s="289" t="s">
        <v>1895</v>
      </c>
      <c r="D116" s="268" t="s">
        <v>185</v>
      </c>
      <c r="E116" s="276" t="s">
        <v>203</v>
      </c>
      <c r="F116" s="277" t="s">
        <v>725</v>
      </c>
      <c r="G116" s="271">
        <f>'MC-DRE'!Q347</f>
        <v>184</v>
      </c>
      <c r="H116" s="269" t="s">
        <v>286</v>
      </c>
      <c r="I116" s="288">
        <f>'CPU - 2'!G53</f>
        <v>4369.08</v>
      </c>
      <c r="J116" s="274">
        <f t="shared" si="9"/>
        <v>5568.83</v>
      </c>
      <c r="K116" s="275">
        <f t="shared" si="10"/>
        <v>1024664.72</v>
      </c>
    </row>
    <row r="117" spans="1:12" ht="39.950000000000003" customHeight="1">
      <c r="A117" s="455"/>
      <c r="C117" s="289" t="s">
        <v>1896</v>
      </c>
      <c r="D117" s="268" t="s">
        <v>185</v>
      </c>
      <c r="E117" s="276" t="s">
        <v>204</v>
      </c>
      <c r="F117" s="277" t="s">
        <v>726</v>
      </c>
      <c r="G117" s="271">
        <f>'MC-DRE'!M304</f>
        <v>184</v>
      </c>
      <c r="H117" s="269" t="s">
        <v>286</v>
      </c>
      <c r="I117" s="288">
        <f>'CPU - 3'!G57</f>
        <v>1556.09</v>
      </c>
      <c r="J117" s="274">
        <f t="shared" si="9"/>
        <v>1983.39</v>
      </c>
      <c r="K117" s="275">
        <f t="shared" si="10"/>
        <v>364943.76</v>
      </c>
    </row>
    <row r="118" spans="1:12" ht="45" hidden="1" customHeight="1">
      <c r="A118" s="455"/>
      <c r="C118" s="289" t="s">
        <v>1893</v>
      </c>
      <c r="D118" s="291"/>
      <c r="E118" s="292"/>
      <c r="F118" s="293" t="s">
        <v>470</v>
      </c>
      <c r="G118" s="271"/>
      <c r="H118" s="272"/>
      <c r="I118" s="288"/>
      <c r="J118" s="274"/>
      <c r="K118" s="275"/>
    </row>
    <row r="119" spans="1:12" ht="45" hidden="1" customHeight="1">
      <c r="A119" s="455"/>
      <c r="C119" s="289" t="s">
        <v>1894</v>
      </c>
      <c r="D119" s="278" t="s">
        <v>184</v>
      </c>
      <c r="E119" s="276" t="s">
        <v>216</v>
      </c>
      <c r="F119" s="277" t="s">
        <v>471</v>
      </c>
      <c r="G119" s="271">
        <f>'MC-DRE'!M347</f>
        <v>0</v>
      </c>
      <c r="H119" s="269" t="s">
        <v>286</v>
      </c>
      <c r="I119" s="288">
        <f>I115</f>
        <v>6321.7</v>
      </c>
      <c r="J119" s="274">
        <f t="shared" si="9"/>
        <v>8057.64</v>
      </c>
      <c r="K119" s="275">
        <f t="shared" si="10"/>
        <v>0</v>
      </c>
    </row>
    <row r="120" spans="1:12" ht="30" customHeight="1">
      <c r="A120" s="455"/>
      <c r="C120" s="1555" t="s">
        <v>12</v>
      </c>
      <c r="D120" s="1556"/>
      <c r="E120" s="1556"/>
      <c r="F120" s="1556"/>
      <c r="G120" s="1556"/>
      <c r="H120" s="1556"/>
      <c r="I120" s="1556"/>
      <c r="J120" s="1557"/>
      <c r="K120" s="294">
        <f>SUM(K50:K119)</f>
        <v>11769995.23</v>
      </c>
      <c r="L120" s="295"/>
    </row>
    <row r="121" spans="1:12" ht="30" customHeight="1">
      <c r="A121" s="455"/>
      <c r="C121" s="296">
        <v>5</v>
      </c>
      <c r="D121" s="308"/>
      <c r="E121" s="308"/>
      <c r="F121" s="308" t="s">
        <v>15</v>
      </c>
      <c r="G121" s="1553"/>
      <c r="H121" s="1553"/>
      <c r="I121" s="1553"/>
      <c r="J121" s="1553"/>
      <c r="K121" s="1554"/>
    </row>
    <row r="122" spans="1:12" s="297" customFormat="1" ht="39.950000000000003" customHeight="1">
      <c r="A122" s="456"/>
      <c r="C122" s="298" t="s">
        <v>13</v>
      </c>
      <c r="D122" s="278" t="s">
        <v>184</v>
      </c>
      <c r="E122" s="1446">
        <v>10008</v>
      </c>
      <c r="F122" s="299" t="s">
        <v>451</v>
      </c>
      <c r="G122" s="300">
        <f>'MC-TER'!E60</f>
        <v>64400</v>
      </c>
      <c r="H122" s="301" t="s">
        <v>2</v>
      </c>
      <c r="I122" s="302">
        <v>4.9800000000000004</v>
      </c>
      <c r="J122" s="274">
        <f>I122*(1+$J$16)</f>
        <v>6.35</v>
      </c>
      <c r="K122" s="275">
        <f>G122*J122</f>
        <v>408940</v>
      </c>
    </row>
    <row r="123" spans="1:12" ht="76.5">
      <c r="A123" s="455"/>
      <c r="C123" s="298" t="s">
        <v>144</v>
      </c>
      <c r="D123" s="278" t="s">
        <v>186</v>
      </c>
      <c r="E123" s="278">
        <v>101125</v>
      </c>
      <c r="F123" s="279" t="s">
        <v>637</v>
      </c>
      <c r="G123" s="280">
        <f>'MC-TER'!G60</f>
        <v>36225</v>
      </c>
      <c r="H123" s="271" t="s">
        <v>0</v>
      </c>
      <c r="I123" s="303">
        <v>14.54</v>
      </c>
      <c r="J123" s="274">
        <f t="shared" ref="J123:J129" si="16">I123*(1+$J$16)</f>
        <v>18.53</v>
      </c>
      <c r="K123" s="275">
        <f t="shared" ref="K123:K129" si="17">G123*J123</f>
        <v>671249.25</v>
      </c>
      <c r="L123" s="295"/>
    </row>
    <row r="124" spans="1:12" ht="51">
      <c r="A124" s="455"/>
      <c r="C124" s="298" t="s">
        <v>145</v>
      </c>
      <c r="D124" s="278" t="s">
        <v>186</v>
      </c>
      <c r="E124" s="269">
        <v>97914</v>
      </c>
      <c r="F124" s="279" t="s">
        <v>638</v>
      </c>
      <c r="G124" s="271">
        <f>'MC-TER'!H60</f>
        <v>461506.5</v>
      </c>
      <c r="H124" s="272" t="s">
        <v>228</v>
      </c>
      <c r="I124" s="290">
        <v>2.9</v>
      </c>
      <c r="J124" s="274">
        <f t="shared" si="16"/>
        <v>3.7</v>
      </c>
      <c r="K124" s="275">
        <f t="shared" si="17"/>
        <v>1707574.05</v>
      </c>
    </row>
    <row r="125" spans="1:12" ht="76.5">
      <c r="A125" s="455"/>
      <c r="C125" s="298" t="s">
        <v>429</v>
      </c>
      <c r="D125" s="278" t="s">
        <v>186</v>
      </c>
      <c r="E125" s="269">
        <v>101125</v>
      </c>
      <c r="F125" s="279" t="s">
        <v>691</v>
      </c>
      <c r="G125" s="271">
        <f>'MC-TER'!I60</f>
        <v>45080</v>
      </c>
      <c r="H125" s="272" t="s">
        <v>0</v>
      </c>
      <c r="I125" s="290">
        <f>I123</f>
        <v>14.54</v>
      </c>
      <c r="J125" s="274">
        <f t="shared" si="16"/>
        <v>18.53</v>
      </c>
      <c r="K125" s="275">
        <f t="shared" si="17"/>
        <v>835332.4</v>
      </c>
    </row>
    <row r="126" spans="1:12" ht="51">
      <c r="A126" s="455"/>
      <c r="C126" s="298" t="s">
        <v>634</v>
      </c>
      <c r="D126" s="269" t="s">
        <v>186</v>
      </c>
      <c r="E126" s="276">
        <v>6079</v>
      </c>
      <c r="F126" s="279" t="s">
        <v>639</v>
      </c>
      <c r="G126" s="271">
        <f>'MC-TER'!K60</f>
        <v>28175</v>
      </c>
      <c r="H126" s="272" t="s">
        <v>0</v>
      </c>
      <c r="I126" s="288">
        <v>37.35</v>
      </c>
      <c r="J126" s="274">
        <f t="shared" si="16"/>
        <v>47.61</v>
      </c>
      <c r="K126" s="275">
        <f t="shared" si="17"/>
        <v>1341411.75</v>
      </c>
      <c r="L126" s="295"/>
    </row>
    <row r="127" spans="1:12" ht="51">
      <c r="A127" s="455"/>
      <c r="C127" s="298" t="s">
        <v>635</v>
      </c>
      <c r="D127" s="278" t="s">
        <v>186</v>
      </c>
      <c r="E127" s="269">
        <v>95877</v>
      </c>
      <c r="F127" s="279" t="s">
        <v>640</v>
      </c>
      <c r="G127" s="271">
        <f>'MC-TER'!L60</f>
        <v>1098825</v>
      </c>
      <c r="H127" s="272" t="s">
        <v>643</v>
      </c>
      <c r="I127" s="290">
        <v>1.83</v>
      </c>
      <c r="J127" s="274">
        <f t="shared" si="16"/>
        <v>2.33</v>
      </c>
      <c r="K127" s="275">
        <f t="shared" si="17"/>
        <v>2560262.25</v>
      </c>
    </row>
    <row r="128" spans="1:12" ht="51">
      <c r="A128" s="455"/>
      <c r="C128" s="298" t="s">
        <v>636</v>
      </c>
      <c r="D128" s="269" t="s">
        <v>186</v>
      </c>
      <c r="E128" s="276">
        <v>93590</v>
      </c>
      <c r="F128" s="279" t="s">
        <v>641</v>
      </c>
      <c r="G128" s="271">
        <f>'MC-TER'!M60</f>
        <v>271043.5</v>
      </c>
      <c r="H128" s="272" t="s">
        <v>643</v>
      </c>
      <c r="I128" s="288">
        <v>0.96</v>
      </c>
      <c r="J128" s="274">
        <f t="shared" si="16"/>
        <v>1.22</v>
      </c>
      <c r="K128" s="275">
        <f t="shared" si="17"/>
        <v>330673.07</v>
      </c>
      <c r="L128" s="295"/>
    </row>
    <row r="129" spans="1:12" ht="51">
      <c r="A129" s="455"/>
      <c r="C129" s="298" t="s">
        <v>692</v>
      </c>
      <c r="D129" s="269" t="s">
        <v>186</v>
      </c>
      <c r="E129" s="276">
        <v>96385</v>
      </c>
      <c r="F129" s="279" t="s">
        <v>642</v>
      </c>
      <c r="G129" s="271">
        <f>'MC-TER'!N60</f>
        <v>28175</v>
      </c>
      <c r="H129" s="272" t="s">
        <v>0</v>
      </c>
      <c r="I129" s="288">
        <v>11.39</v>
      </c>
      <c r="J129" s="274">
        <f t="shared" si="16"/>
        <v>14.52</v>
      </c>
      <c r="K129" s="275">
        <f t="shared" si="17"/>
        <v>409101</v>
      </c>
      <c r="L129" s="295"/>
    </row>
    <row r="130" spans="1:12" ht="30" customHeight="1">
      <c r="A130" s="455"/>
      <c r="C130" s="1555" t="s">
        <v>16</v>
      </c>
      <c r="D130" s="1556"/>
      <c r="E130" s="1556"/>
      <c r="F130" s="1556"/>
      <c r="G130" s="1556"/>
      <c r="H130" s="1556"/>
      <c r="I130" s="1556"/>
      <c r="J130" s="1557"/>
      <c r="K130" s="294">
        <f>SUM(K122:K129)</f>
        <v>8264543.7699999996</v>
      </c>
    </row>
    <row r="131" spans="1:12" ht="30" customHeight="1">
      <c r="A131" s="455"/>
      <c r="C131" s="296">
        <v>6</v>
      </c>
      <c r="D131" s="308"/>
      <c r="E131" s="308"/>
      <c r="F131" s="308" t="s">
        <v>30</v>
      </c>
      <c r="G131" s="1553"/>
      <c r="H131" s="1553"/>
      <c r="I131" s="1553"/>
      <c r="J131" s="1553"/>
      <c r="K131" s="1554"/>
      <c r="L131" s="295"/>
    </row>
    <row r="132" spans="1:12" ht="76.5">
      <c r="A132" s="455"/>
      <c r="C132" s="298" t="s">
        <v>180</v>
      </c>
      <c r="D132" s="278" t="s">
        <v>185</v>
      </c>
      <c r="E132" s="278" t="s">
        <v>262</v>
      </c>
      <c r="F132" s="279" t="s">
        <v>1729</v>
      </c>
      <c r="G132" s="280">
        <f>'MC-TER'!P60</f>
        <v>8050</v>
      </c>
      <c r="H132" s="271" t="s">
        <v>0</v>
      </c>
      <c r="I132" s="304">
        <f>'CPU - 4'!G39</f>
        <v>187.07</v>
      </c>
      <c r="J132" s="274">
        <f t="shared" ref="J132:J139" si="18">I132*(1+$J$16)</f>
        <v>238.44</v>
      </c>
      <c r="K132" s="275">
        <f t="shared" ref="K132:K140" si="19">G132*J132</f>
        <v>1919442</v>
      </c>
    </row>
    <row r="133" spans="1:12" ht="76.5">
      <c r="A133" s="455"/>
      <c r="C133" s="298" t="s">
        <v>181</v>
      </c>
      <c r="D133" s="278" t="s">
        <v>186</v>
      </c>
      <c r="E133" s="278">
        <v>96390</v>
      </c>
      <c r="F133" s="279" t="s">
        <v>1834</v>
      </c>
      <c r="G133" s="280">
        <f>'MC-TER'!Q60</f>
        <v>1610</v>
      </c>
      <c r="H133" s="271" t="s">
        <v>0</v>
      </c>
      <c r="I133" s="304">
        <v>117.31</v>
      </c>
      <c r="J133" s="274">
        <f t="shared" ref="J133" si="20">I133*(1+$J$16)</f>
        <v>149.52000000000001</v>
      </c>
      <c r="K133" s="275">
        <f t="shared" ref="K133" si="21">G133*J133</f>
        <v>240727.2</v>
      </c>
      <c r="L133" s="264" t="str">
        <f>LOWER(F133)</f>
        <v>execução e compactação de base e ou sub base para pavimentação de solo (predominantemente arenoso) com cimento (teor de 4%) - exclusive solo , escavação, carga e transporte. af_11/2019</v>
      </c>
    </row>
    <row r="134" spans="1:12" ht="76.5">
      <c r="A134" s="455"/>
      <c r="C134" s="298" t="s">
        <v>536</v>
      </c>
      <c r="D134" s="278" t="s">
        <v>186</v>
      </c>
      <c r="E134" s="269">
        <v>101125</v>
      </c>
      <c r="F134" s="279" t="s">
        <v>691</v>
      </c>
      <c r="G134" s="271">
        <f>'MC-TER'!R60</f>
        <v>9660</v>
      </c>
      <c r="H134" s="272" t="s">
        <v>0</v>
      </c>
      <c r="I134" s="305">
        <v>14.54</v>
      </c>
      <c r="J134" s="274">
        <f t="shared" si="18"/>
        <v>18.53</v>
      </c>
      <c r="K134" s="275">
        <f t="shared" si="19"/>
        <v>178999.8</v>
      </c>
    </row>
    <row r="135" spans="1:12" ht="51">
      <c r="A135" s="455"/>
      <c r="C135" s="298" t="s">
        <v>537</v>
      </c>
      <c r="D135" s="278" t="s">
        <v>186</v>
      </c>
      <c r="E135" s="278" t="s">
        <v>499</v>
      </c>
      <c r="F135" s="279" t="s">
        <v>500</v>
      </c>
      <c r="G135" s="280">
        <f>'MC-TER'!S60</f>
        <v>376740</v>
      </c>
      <c r="H135" s="271" t="s">
        <v>501</v>
      </c>
      <c r="I135" s="304">
        <v>1.83</v>
      </c>
      <c r="J135" s="274">
        <f t="shared" si="18"/>
        <v>2.33</v>
      </c>
      <c r="K135" s="275">
        <f t="shared" si="19"/>
        <v>877804.2</v>
      </c>
    </row>
    <row r="136" spans="1:12" ht="51">
      <c r="A136" s="455"/>
      <c r="C136" s="298" t="s">
        <v>538</v>
      </c>
      <c r="D136" s="278" t="s">
        <v>186</v>
      </c>
      <c r="E136" s="278">
        <v>93590</v>
      </c>
      <c r="F136" s="279" t="s">
        <v>641</v>
      </c>
      <c r="G136" s="280">
        <f>'MC-TER'!T60</f>
        <v>1144871</v>
      </c>
      <c r="H136" s="271" t="s">
        <v>501</v>
      </c>
      <c r="I136" s="304">
        <v>0.96</v>
      </c>
      <c r="J136" s="274">
        <f>I136*(1+$J$16)</f>
        <v>1.22</v>
      </c>
      <c r="K136" s="275">
        <f t="shared" si="19"/>
        <v>1396742.62</v>
      </c>
      <c r="L136" s="295"/>
    </row>
    <row r="137" spans="1:12" ht="76.5">
      <c r="A137" s="455"/>
      <c r="C137" s="298" t="s">
        <v>539</v>
      </c>
      <c r="D137" s="278" t="s">
        <v>185</v>
      </c>
      <c r="E137" s="278" t="s">
        <v>360</v>
      </c>
      <c r="F137" s="279" t="s">
        <v>581</v>
      </c>
      <c r="G137" s="280">
        <f>'MC-TER'!V60</f>
        <v>9660</v>
      </c>
      <c r="H137" s="271" t="s">
        <v>437</v>
      </c>
      <c r="I137" s="304">
        <f>'CPU - 5'!G38</f>
        <v>61.19</v>
      </c>
      <c r="J137" s="274">
        <f t="shared" si="18"/>
        <v>77.989999999999995</v>
      </c>
      <c r="K137" s="275">
        <f t="shared" si="19"/>
        <v>753383.4</v>
      </c>
    </row>
    <row r="138" spans="1:12" ht="76.5">
      <c r="A138" s="455"/>
      <c r="C138" s="298" t="s">
        <v>694</v>
      </c>
      <c r="D138" s="278" t="s">
        <v>186</v>
      </c>
      <c r="E138" s="269">
        <v>101125</v>
      </c>
      <c r="F138" s="279" t="s">
        <v>691</v>
      </c>
      <c r="G138" s="271">
        <f>'MC-TER'!W60</f>
        <v>9660</v>
      </c>
      <c r="H138" s="272" t="s">
        <v>0</v>
      </c>
      <c r="I138" s="305">
        <f>I134</f>
        <v>14.54</v>
      </c>
      <c r="J138" s="274">
        <f t="shared" si="18"/>
        <v>18.53</v>
      </c>
      <c r="K138" s="275">
        <f t="shared" si="19"/>
        <v>178999.8</v>
      </c>
    </row>
    <row r="139" spans="1:12" ht="51">
      <c r="A139" s="455"/>
      <c r="C139" s="298" t="s">
        <v>695</v>
      </c>
      <c r="D139" s="278" t="s">
        <v>186</v>
      </c>
      <c r="E139" s="278" t="s">
        <v>499</v>
      </c>
      <c r="F139" s="279" t="s">
        <v>500</v>
      </c>
      <c r="G139" s="280">
        <f>'MC-TER'!Y60</f>
        <v>376740</v>
      </c>
      <c r="H139" s="271" t="s">
        <v>501</v>
      </c>
      <c r="I139" s="305">
        <f>I135</f>
        <v>1.83</v>
      </c>
      <c r="J139" s="274">
        <f t="shared" si="18"/>
        <v>2.33</v>
      </c>
      <c r="K139" s="275">
        <f t="shared" si="19"/>
        <v>877804.2</v>
      </c>
    </row>
    <row r="140" spans="1:12" ht="51">
      <c r="A140" s="455"/>
      <c r="C140" s="298" t="s">
        <v>1829</v>
      </c>
      <c r="D140" s="278" t="s">
        <v>186</v>
      </c>
      <c r="E140" s="278">
        <v>93590</v>
      </c>
      <c r="F140" s="279" t="s">
        <v>641</v>
      </c>
      <c r="G140" s="280">
        <f>'MC-TER'!Z60</f>
        <v>92929.2</v>
      </c>
      <c r="H140" s="271" t="s">
        <v>501</v>
      </c>
      <c r="I140" s="305">
        <f>I136</f>
        <v>0.96</v>
      </c>
      <c r="J140" s="274">
        <f>I140*(1+$J$16)</f>
        <v>1.22</v>
      </c>
      <c r="K140" s="275">
        <f t="shared" si="19"/>
        <v>113373.62</v>
      </c>
      <c r="L140" s="295"/>
    </row>
    <row r="141" spans="1:12" ht="30" customHeight="1">
      <c r="A141" s="455"/>
      <c r="C141" s="1555" t="s">
        <v>146</v>
      </c>
      <c r="D141" s="1556"/>
      <c r="E141" s="1556"/>
      <c r="F141" s="1556"/>
      <c r="G141" s="1556"/>
      <c r="H141" s="1556"/>
      <c r="I141" s="1556"/>
      <c r="J141" s="1557"/>
      <c r="K141" s="294">
        <f>SUM(K132:K140)</f>
        <v>6537276.8399999999</v>
      </c>
      <c r="L141" s="295"/>
    </row>
    <row r="142" spans="1:12" ht="30" customHeight="1">
      <c r="A142" s="455"/>
      <c r="C142" s="296">
        <v>7</v>
      </c>
      <c r="D142" s="308"/>
      <c r="E142" s="308"/>
      <c r="F142" s="308" t="s">
        <v>26</v>
      </c>
      <c r="G142" s="1553"/>
      <c r="H142" s="1553"/>
      <c r="I142" s="1553"/>
      <c r="J142" s="1553"/>
      <c r="K142" s="1554"/>
    </row>
    <row r="143" spans="1:12" ht="39.950000000000003" customHeight="1">
      <c r="A143" s="455"/>
      <c r="C143" s="298" t="s">
        <v>182</v>
      </c>
      <c r="D143" s="269" t="s">
        <v>185</v>
      </c>
      <c r="E143" s="278" t="s">
        <v>529</v>
      </c>
      <c r="F143" s="299" t="s">
        <v>200</v>
      </c>
      <c r="G143" s="280">
        <f>'MC-PAV'!M56</f>
        <v>51037</v>
      </c>
      <c r="H143" s="272" t="s">
        <v>2</v>
      </c>
      <c r="I143" s="303">
        <f>'CPU - 6'!G32</f>
        <v>10.57</v>
      </c>
      <c r="J143" s="274">
        <f t="shared" ref="J143:J152" si="22">I143*(1+$J$16)</f>
        <v>13.47</v>
      </c>
      <c r="K143" s="275">
        <f t="shared" ref="K143:K152" si="23">G143*J143</f>
        <v>687468.39</v>
      </c>
    </row>
    <row r="144" spans="1:12" ht="39.950000000000003" customHeight="1">
      <c r="A144" s="455"/>
      <c r="C144" s="298" t="s">
        <v>431</v>
      </c>
      <c r="D144" s="269" t="s">
        <v>185</v>
      </c>
      <c r="E144" s="278" t="s">
        <v>728</v>
      </c>
      <c r="F144" s="299" t="s">
        <v>201</v>
      </c>
      <c r="G144" s="280">
        <f>'MC-PAV'!N56</f>
        <v>120777</v>
      </c>
      <c r="H144" s="272" t="s">
        <v>2</v>
      </c>
      <c r="I144" s="303">
        <f>'CPU - 7'!G32</f>
        <v>3.45</v>
      </c>
      <c r="J144" s="274">
        <f t="shared" si="22"/>
        <v>4.4000000000000004</v>
      </c>
      <c r="K144" s="275">
        <f t="shared" si="23"/>
        <v>531418.80000000005</v>
      </c>
    </row>
    <row r="145" spans="1:12" ht="51">
      <c r="A145" s="455"/>
      <c r="C145" s="298" t="s">
        <v>432</v>
      </c>
      <c r="D145" s="278" t="s">
        <v>186</v>
      </c>
      <c r="E145" s="278" t="s">
        <v>510</v>
      </c>
      <c r="F145" s="299" t="s">
        <v>511</v>
      </c>
      <c r="G145" s="280">
        <f>'MC-PAV'!P56</f>
        <v>4227.2</v>
      </c>
      <c r="H145" s="271" t="s">
        <v>0</v>
      </c>
      <c r="I145" s="303">
        <v>2619.83</v>
      </c>
      <c r="J145" s="274">
        <f t="shared" si="22"/>
        <v>3339.24</v>
      </c>
      <c r="K145" s="275">
        <f t="shared" si="23"/>
        <v>14115635.33</v>
      </c>
      <c r="L145" s="264" t="s">
        <v>512</v>
      </c>
    </row>
    <row r="146" spans="1:12" ht="51">
      <c r="A146" s="455"/>
      <c r="C146" s="298" t="s">
        <v>433</v>
      </c>
      <c r="D146" s="278" t="s">
        <v>186</v>
      </c>
      <c r="E146" s="430">
        <v>93592</v>
      </c>
      <c r="F146" s="279" t="s">
        <v>300</v>
      </c>
      <c r="G146" s="280">
        <f>'MC-PAV'!Q56</f>
        <v>105680</v>
      </c>
      <c r="H146" s="271" t="s">
        <v>501</v>
      </c>
      <c r="I146" s="303">
        <v>2.34</v>
      </c>
      <c r="J146" s="274">
        <f t="shared" si="22"/>
        <v>2.98</v>
      </c>
      <c r="K146" s="275">
        <f t="shared" si="23"/>
        <v>314926.40000000002</v>
      </c>
    </row>
    <row r="147" spans="1:12" ht="51">
      <c r="A147" s="455"/>
      <c r="C147" s="298" t="s">
        <v>528</v>
      </c>
      <c r="D147" s="278" t="s">
        <v>186</v>
      </c>
      <c r="E147" s="278">
        <v>96001</v>
      </c>
      <c r="F147" s="279" t="s">
        <v>589</v>
      </c>
      <c r="G147" s="280">
        <f>'MC-PAV'!U56</f>
        <v>6974</v>
      </c>
      <c r="H147" s="272" t="s">
        <v>2</v>
      </c>
      <c r="I147" s="303">
        <v>6.97</v>
      </c>
      <c r="J147" s="274">
        <f t="shared" si="22"/>
        <v>8.8800000000000008</v>
      </c>
      <c r="K147" s="275">
        <f t="shared" si="23"/>
        <v>61929.120000000003</v>
      </c>
    </row>
    <row r="148" spans="1:12" ht="51">
      <c r="A148" s="455"/>
      <c r="C148" s="298" t="s">
        <v>433</v>
      </c>
      <c r="D148" s="278" t="s">
        <v>186</v>
      </c>
      <c r="E148" s="278" t="s">
        <v>650</v>
      </c>
      <c r="F148" s="299" t="s">
        <v>651</v>
      </c>
      <c r="G148" s="280">
        <f>'MC-PAV'!T56</f>
        <v>9275.42</v>
      </c>
      <c r="H148" s="271" t="s">
        <v>0</v>
      </c>
      <c r="I148" s="303">
        <v>452.07</v>
      </c>
      <c r="J148" s="274">
        <f t="shared" si="22"/>
        <v>576.21</v>
      </c>
      <c r="K148" s="275">
        <f t="shared" si="23"/>
        <v>5344589.76</v>
      </c>
      <c r="L148" s="264" t="s">
        <v>512</v>
      </c>
    </row>
    <row r="149" spans="1:12" ht="76.5">
      <c r="A149" s="455"/>
      <c r="C149" s="298" t="s">
        <v>528</v>
      </c>
      <c r="D149" s="278" t="s">
        <v>186</v>
      </c>
      <c r="E149" s="278">
        <v>101838</v>
      </c>
      <c r="F149" s="299" t="s">
        <v>1835</v>
      </c>
      <c r="G149" s="280">
        <f>'MC-PAV'!S56</f>
        <v>976.36</v>
      </c>
      <c r="H149" s="271" t="s">
        <v>0</v>
      </c>
      <c r="I149" s="303">
        <v>128.54</v>
      </c>
      <c r="J149" s="274">
        <f t="shared" ref="J149" si="24">I149*(1+$J$16)</f>
        <v>163.84</v>
      </c>
      <c r="K149" s="275">
        <f t="shared" ref="K149" si="25">G149*J149</f>
        <v>159966.82</v>
      </c>
      <c r="L149" s="264" t="str">
        <f>LOWER(F149)</f>
        <v>recomposição de base e ou sub-base para fechamento de valas de solo melhorado com cimento (teor de 4%) - incluso retirada e colocação do material. af_12/2020</v>
      </c>
    </row>
    <row r="150" spans="1:12" ht="51">
      <c r="A150" s="455"/>
      <c r="C150" s="298" t="s">
        <v>528</v>
      </c>
      <c r="D150" s="278" t="s">
        <v>186</v>
      </c>
      <c r="E150" s="430" t="s">
        <v>652</v>
      </c>
      <c r="F150" s="279" t="s">
        <v>653</v>
      </c>
      <c r="G150" s="280">
        <f>'MC-PAV'!R56</f>
        <v>14645.4</v>
      </c>
      <c r="H150" s="271" t="s">
        <v>2</v>
      </c>
      <c r="I150" s="303">
        <v>21.11</v>
      </c>
      <c r="J150" s="274">
        <f t="shared" si="22"/>
        <v>26.91</v>
      </c>
      <c r="K150" s="275">
        <f t="shared" si="23"/>
        <v>394107.71</v>
      </c>
    </row>
    <row r="151" spans="1:12" ht="39.950000000000003" customHeight="1">
      <c r="A151" s="455"/>
      <c r="C151" s="298" t="s">
        <v>659</v>
      </c>
      <c r="D151" s="278" t="s">
        <v>186</v>
      </c>
      <c r="E151" s="278">
        <v>100973</v>
      </c>
      <c r="F151" s="279" t="s">
        <v>654</v>
      </c>
      <c r="G151" s="280">
        <f>'MC-PAV'!V56</f>
        <v>10356.39</v>
      </c>
      <c r="H151" s="271" t="s">
        <v>0</v>
      </c>
      <c r="I151" s="303">
        <v>9.1199999999999992</v>
      </c>
      <c r="J151" s="274">
        <f t="shared" si="22"/>
        <v>11.62</v>
      </c>
      <c r="K151" s="275">
        <f t="shared" si="23"/>
        <v>120341.25</v>
      </c>
    </row>
    <row r="152" spans="1:12" ht="51">
      <c r="A152" s="455"/>
      <c r="C152" s="298" t="s">
        <v>1563</v>
      </c>
      <c r="D152" s="278" t="s">
        <v>186</v>
      </c>
      <c r="E152" s="278">
        <v>97914</v>
      </c>
      <c r="F152" s="279" t="s">
        <v>638</v>
      </c>
      <c r="G152" s="280">
        <f>'MC-PAV'!W56</f>
        <v>131940.41</v>
      </c>
      <c r="H152" s="272" t="s">
        <v>228</v>
      </c>
      <c r="I152" s="303">
        <v>2.9</v>
      </c>
      <c r="J152" s="274">
        <f t="shared" si="22"/>
        <v>3.7</v>
      </c>
      <c r="K152" s="275">
        <f t="shared" si="23"/>
        <v>488179.52</v>
      </c>
    </row>
    <row r="153" spans="1:12" ht="30" customHeight="1">
      <c r="A153" s="455"/>
      <c r="C153" s="1555" t="s">
        <v>177</v>
      </c>
      <c r="D153" s="1556"/>
      <c r="E153" s="1556"/>
      <c r="F153" s="1556"/>
      <c r="G153" s="1556"/>
      <c r="H153" s="1556"/>
      <c r="I153" s="1556"/>
      <c r="J153" s="1557"/>
      <c r="K153" s="294">
        <f>SUM(K143:K152)</f>
        <v>22218563.100000001</v>
      </c>
    </row>
    <row r="154" spans="1:12" ht="28.15" hidden="1" customHeight="1">
      <c r="A154" s="455"/>
      <c r="C154" s="296">
        <v>8</v>
      </c>
      <c r="D154" s="308"/>
      <c r="E154" s="308"/>
      <c r="F154" s="308" t="s">
        <v>598</v>
      </c>
      <c r="G154" s="1553"/>
      <c r="H154" s="1553"/>
      <c r="I154" s="1553"/>
      <c r="J154" s="1553"/>
      <c r="K154" s="1554"/>
    </row>
    <row r="155" spans="1:12" ht="45" hidden="1" customHeight="1">
      <c r="A155" s="455"/>
      <c r="C155" s="469" t="s">
        <v>434</v>
      </c>
      <c r="D155" s="269"/>
      <c r="E155" s="278"/>
      <c r="F155" s="468" t="s">
        <v>599</v>
      </c>
      <c r="G155" s="280"/>
      <c r="H155" s="272"/>
      <c r="I155" s="303"/>
      <c r="J155" s="274"/>
      <c r="K155" s="275"/>
    </row>
    <row r="156" spans="1:12" ht="45" hidden="1" customHeight="1">
      <c r="A156" s="455"/>
      <c r="C156" s="298" t="s">
        <v>610</v>
      </c>
      <c r="D156" s="269" t="s">
        <v>600</v>
      </c>
      <c r="E156" s="278" t="s">
        <v>601</v>
      </c>
      <c r="F156" s="299" t="s">
        <v>602</v>
      </c>
      <c r="G156" s="280"/>
      <c r="H156" s="272" t="s">
        <v>2</v>
      </c>
      <c r="I156" s="303">
        <v>56.29</v>
      </c>
      <c r="J156" s="274">
        <f>I156*(1+$J$16)</f>
        <v>71.75</v>
      </c>
      <c r="K156" s="275">
        <f>G156*J156</f>
        <v>0</v>
      </c>
    </row>
    <row r="157" spans="1:12" ht="45" hidden="1" customHeight="1">
      <c r="A157" s="455"/>
      <c r="C157" s="298" t="s">
        <v>611</v>
      </c>
      <c r="D157" s="278" t="s">
        <v>600</v>
      </c>
      <c r="E157" s="278" t="s">
        <v>603</v>
      </c>
      <c r="F157" s="299" t="s">
        <v>604</v>
      </c>
      <c r="G157" s="280"/>
      <c r="H157" s="272" t="s">
        <v>2</v>
      </c>
      <c r="I157" s="303">
        <v>43.69</v>
      </c>
      <c r="J157" s="274">
        <f>I157*(1+$J$16)</f>
        <v>55.69</v>
      </c>
      <c r="K157" s="275">
        <f>G157*J157</f>
        <v>0</v>
      </c>
    </row>
    <row r="158" spans="1:12" ht="45" hidden="1" customHeight="1">
      <c r="A158" s="455"/>
      <c r="C158" s="469" t="s">
        <v>612</v>
      </c>
      <c r="D158" s="278"/>
      <c r="E158" s="430"/>
      <c r="F158" s="467" t="s">
        <v>605</v>
      </c>
      <c r="G158" s="280"/>
      <c r="H158" s="272"/>
      <c r="I158" s="303"/>
      <c r="J158" s="274"/>
      <c r="K158" s="275"/>
    </row>
    <row r="159" spans="1:12" ht="45" hidden="1" customHeight="1">
      <c r="A159" s="455"/>
      <c r="C159" s="298" t="s">
        <v>613</v>
      </c>
      <c r="D159" s="278" t="s">
        <v>600</v>
      </c>
      <c r="E159" s="278" t="s">
        <v>606</v>
      </c>
      <c r="F159" s="299" t="s">
        <v>607</v>
      </c>
      <c r="G159" s="280"/>
      <c r="H159" s="272" t="s">
        <v>2</v>
      </c>
      <c r="I159" s="303">
        <v>256.64999999999998</v>
      </c>
      <c r="J159" s="274">
        <f>I159*(1+$J$16)</f>
        <v>327.13</v>
      </c>
      <c r="K159" s="275">
        <f>G159*J159</f>
        <v>0</v>
      </c>
    </row>
    <row r="160" spans="1:12" ht="45" hidden="1" customHeight="1">
      <c r="A160" s="455"/>
      <c r="C160" s="298" t="s">
        <v>614</v>
      </c>
      <c r="D160" s="278" t="s">
        <v>600</v>
      </c>
      <c r="E160" s="430" t="s">
        <v>608</v>
      </c>
      <c r="F160" s="279" t="s">
        <v>609</v>
      </c>
      <c r="G160" s="280"/>
      <c r="H160" s="269" t="s">
        <v>286</v>
      </c>
      <c r="I160" s="303">
        <v>120.76</v>
      </c>
      <c r="J160" s="274">
        <f>I160*(1+$J$16)</f>
        <v>153.91999999999999</v>
      </c>
      <c r="K160" s="275">
        <f>G160*J160</f>
        <v>0</v>
      </c>
    </row>
    <row r="161" spans="1:11" ht="28.15" hidden="1" customHeight="1">
      <c r="A161" s="455"/>
      <c r="C161" s="1555" t="s">
        <v>430</v>
      </c>
      <c r="D161" s="1556"/>
      <c r="E161" s="1556"/>
      <c r="F161" s="1556"/>
      <c r="G161" s="1556"/>
      <c r="H161" s="1556"/>
      <c r="I161" s="1556"/>
      <c r="J161" s="1557"/>
      <c r="K161" s="294">
        <f>SUM(K155:K160)</f>
        <v>0</v>
      </c>
    </row>
    <row r="162" spans="1:11" ht="30" customHeight="1">
      <c r="A162" s="455"/>
      <c r="C162" s="306">
        <v>8</v>
      </c>
      <c r="D162" s="307"/>
      <c r="E162" s="307"/>
      <c r="F162" s="308" t="s">
        <v>10</v>
      </c>
      <c r="G162" s="1553"/>
      <c r="H162" s="1553"/>
      <c r="I162" s="1553"/>
      <c r="J162" s="1553"/>
      <c r="K162" s="1554"/>
    </row>
    <row r="163" spans="1:11" ht="39.950000000000003" customHeight="1">
      <c r="A163" s="455"/>
      <c r="C163" s="309" t="s">
        <v>434</v>
      </c>
      <c r="D163" s="282" t="s">
        <v>184</v>
      </c>
      <c r="E163" s="276" t="s">
        <v>202</v>
      </c>
      <c r="F163" s="279" t="s">
        <v>147</v>
      </c>
      <c r="G163" s="280">
        <f>'MC-PAV'!X56</f>
        <v>14039.27</v>
      </c>
      <c r="H163" s="272" t="s">
        <v>2</v>
      </c>
      <c r="I163" s="281">
        <v>7.97</v>
      </c>
      <c r="J163" s="274">
        <f>I163*(1+$J$16)</f>
        <v>10.16</v>
      </c>
      <c r="K163" s="275">
        <f>G163*J163+0.03</f>
        <v>142639.01</v>
      </c>
    </row>
    <row r="164" spans="1:11" ht="30" customHeight="1" thickBot="1">
      <c r="A164" s="457"/>
      <c r="B164" s="458"/>
      <c r="C164" s="1555" t="s">
        <v>430</v>
      </c>
      <c r="D164" s="1556"/>
      <c r="E164" s="1556"/>
      <c r="F164" s="1556"/>
      <c r="G164" s="1556"/>
      <c r="H164" s="1556"/>
      <c r="I164" s="1556"/>
      <c r="J164" s="1557"/>
      <c r="K164" s="294">
        <f>SUM(K163)</f>
        <v>142639.01</v>
      </c>
    </row>
    <row r="165" spans="1:11" ht="30" customHeight="1">
      <c r="C165" s="306">
        <v>9</v>
      </c>
      <c r="D165" s="307"/>
      <c r="E165" s="307"/>
      <c r="F165" s="308" t="s">
        <v>757</v>
      </c>
      <c r="G165" s="1553"/>
      <c r="H165" s="1553"/>
      <c r="I165" s="1553"/>
      <c r="J165" s="1553"/>
      <c r="K165" s="1554"/>
    </row>
    <row r="166" spans="1:11" ht="39.950000000000003" customHeight="1">
      <c r="C166" s="1433" t="s">
        <v>756</v>
      </c>
      <c r="D166" s="286"/>
      <c r="E166" s="292"/>
      <c r="F166" s="467" t="s">
        <v>764</v>
      </c>
      <c r="G166" s="280"/>
      <c r="H166" s="272"/>
      <c r="I166" s="281"/>
      <c r="J166" s="274"/>
      <c r="K166" s="275"/>
    </row>
    <row r="167" spans="1:11" ht="77.25" customHeight="1">
      <c r="C167" s="309" t="s">
        <v>1815</v>
      </c>
      <c r="D167" s="269"/>
      <c r="E167" s="276">
        <v>99059</v>
      </c>
      <c r="F167" s="277" t="s">
        <v>788</v>
      </c>
      <c r="G167" s="272">
        <f>'Orç PONTE'!E7</f>
        <v>265</v>
      </c>
      <c r="H167" s="272" t="s">
        <v>766</v>
      </c>
      <c r="I167" s="281">
        <v>59.3</v>
      </c>
      <c r="J167" s="274">
        <f t="shared" ref="J167:J169" si="26">I167*(1+$J$16)</f>
        <v>75.58</v>
      </c>
      <c r="K167" s="275">
        <f t="shared" ref="K167:K169" si="27">G167*J167</f>
        <v>20028.7</v>
      </c>
    </row>
    <row r="168" spans="1:11" ht="39.950000000000003" customHeight="1">
      <c r="C168" s="309" t="s">
        <v>1816</v>
      </c>
      <c r="D168" s="269"/>
      <c r="E168" s="276" t="s">
        <v>1604</v>
      </c>
      <c r="F168" s="277" t="s">
        <v>1603</v>
      </c>
      <c r="G168" s="272">
        <f>'Orç PONTE'!E8</f>
        <v>265</v>
      </c>
      <c r="H168" s="272" t="s">
        <v>766</v>
      </c>
      <c r="I168" s="281">
        <v>56.37</v>
      </c>
      <c r="J168" s="274">
        <f t="shared" si="26"/>
        <v>71.849999999999994</v>
      </c>
      <c r="K168" s="275">
        <f t="shared" si="27"/>
        <v>19040.25</v>
      </c>
    </row>
    <row r="169" spans="1:11" ht="56.25" customHeight="1">
      <c r="C169" s="309" t="s">
        <v>1817</v>
      </c>
      <c r="D169" s="269"/>
      <c r="E169" s="276" t="s">
        <v>1660</v>
      </c>
      <c r="F169" s="277" t="s">
        <v>1652</v>
      </c>
      <c r="G169" s="272">
        <f>'Orç PONTE'!E9</f>
        <v>37.5</v>
      </c>
      <c r="H169" s="272" t="s">
        <v>766</v>
      </c>
      <c r="I169" s="281">
        <v>490.33</v>
      </c>
      <c r="J169" s="274">
        <f t="shared" si="26"/>
        <v>624.97</v>
      </c>
      <c r="K169" s="275">
        <f t="shared" si="27"/>
        <v>23436.38</v>
      </c>
    </row>
    <row r="170" spans="1:11" ht="39.950000000000003" customHeight="1">
      <c r="C170" s="1433" t="s">
        <v>778</v>
      </c>
      <c r="D170" s="1425"/>
      <c r="E170" s="292"/>
      <c r="F170" s="293" t="s">
        <v>773</v>
      </c>
      <c r="G170" s="272"/>
      <c r="H170" s="272"/>
      <c r="I170" s="281"/>
      <c r="J170" s="274"/>
      <c r="K170" s="275"/>
    </row>
    <row r="171" spans="1:11" ht="78" customHeight="1">
      <c r="C171" s="309" t="s">
        <v>1818</v>
      </c>
      <c r="D171" s="269"/>
      <c r="E171" s="276">
        <v>96537</v>
      </c>
      <c r="F171" s="277" t="s">
        <v>789</v>
      </c>
      <c r="G171" s="272">
        <f>'Orç PONTE'!E11</f>
        <v>144.56</v>
      </c>
      <c r="H171" s="272" t="s">
        <v>766</v>
      </c>
      <c r="I171" s="281">
        <v>184.88</v>
      </c>
      <c r="J171" s="274">
        <f t="shared" ref="J171:J173" si="28">I171*(1+$J$16)</f>
        <v>235.65</v>
      </c>
      <c r="K171" s="275">
        <f t="shared" ref="K171:K173" si="29">G171*J171</f>
        <v>34065.56</v>
      </c>
    </row>
    <row r="172" spans="1:11" ht="53.25" customHeight="1">
      <c r="C172" s="309" t="s">
        <v>1819</v>
      </c>
      <c r="D172" s="269"/>
      <c r="E172" s="276">
        <v>96543</v>
      </c>
      <c r="F172" s="277" t="s">
        <v>790</v>
      </c>
      <c r="G172" s="272">
        <f>'Orç PONTE'!E12</f>
        <v>1800.9</v>
      </c>
      <c r="H172" s="272" t="s">
        <v>791</v>
      </c>
      <c r="I172" s="281">
        <v>19.09</v>
      </c>
      <c r="J172" s="274">
        <f t="shared" si="28"/>
        <v>24.33</v>
      </c>
      <c r="K172" s="275">
        <f t="shared" si="29"/>
        <v>43815.9</v>
      </c>
    </row>
    <row r="173" spans="1:11" ht="82.5" customHeight="1">
      <c r="C173" s="309" t="s">
        <v>1820</v>
      </c>
      <c r="D173" s="269"/>
      <c r="E173" s="276">
        <v>96557</v>
      </c>
      <c r="F173" s="277" t="s">
        <v>792</v>
      </c>
      <c r="G173" s="272">
        <f>'Orç PONTE'!E13</f>
        <v>30.48</v>
      </c>
      <c r="H173" s="272" t="s">
        <v>195</v>
      </c>
      <c r="I173" s="281">
        <v>932.79</v>
      </c>
      <c r="J173" s="274">
        <f t="shared" si="28"/>
        <v>1188.93</v>
      </c>
      <c r="K173" s="275">
        <f t="shared" si="29"/>
        <v>36238.589999999997</v>
      </c>
    </row>
    <row r="174" spans="1:11" ht="39.950000000000003" customHeight="1">
      <c r="C174" s="1433" t="s">
        <v>1897</v>
      </c>
      <c r="D174" s="1425"/>
      <c r="E174" s="292"/>
      <c r="F174" s="293" t="s">
        <v>793</v>
      </c>
      <c r="G174" s="272"/>
      <c r="H174" s="272"/>
      <c r="I174" s="281"/>
      <c r="J174" s="274"/>
      <c r="K174" s="275"/>
    </row>
    <row r="175" spans="1:11" ht="39.950000000000003" customHeight="1">
      <c r="C175" s="309"/>
      <c r="D175" s="269"/>
      <c r="E175" s="276"/>
      <c r="F175" s="277" t="s">
        <v>794</v>
      </c>
      <c r="G175" s="272"/>
      <c r="H175" s="272"/>
      <c r="I175" s="281"/>
      <c r="J175" s="274"/>
      <c r="K175" s="275"/>
    </row>
    <row r="176" spans="1:11" ht="39.950000000000003" customHeight="1">
      <c r="C176" s="1433" t="s">
        <v>1898</v>
      </c>
      <c r="D176" s="1425"/>
      <c r="E176" s="292"/>
      <c r="F176" s="293" t="s">
        <v>795</v>
      </c>
      <c r="G176" s="272"/>
      <c r="H176" s="272"/>
      <c r="I176" s="281"/>
      <c r="J176" s="274"/>
      <c r="K176" s="275"/>
    </row>
    <row r="177" spans="3:11" ht="58.5" customHeight="1">
      <c r="C177" s="309" t="s">
        <v>1899</v>
      </c>
      <c r="D177" s="269"/>
      <c r="E177" s="276">
        <v>92266</v>
      </c>
      <c r="F177" s="277" t="s">
        <v>796</v>
      </c>
      <c r="G177" s="272">
        <f>'Orç PONTE'!E17</f>
        <v>624.88</v>
      </c>
      <c r="H177" s="272" t="s">
        <v>2</v>
      </c>
      <c r="I177" s="281">
        <v>168.34</v>
      </c>
      <c r="J177" s="274">
        <f t="shared" ref="J177:J179" si="30">I177*(1+$J$16)</f>
        <v>214.57</v>
      </c>
      <c r="K177" s="275">
        <f t="shared" ref="K177:K179" si="31">G177*J177</f>
        <v>134080.5</v>
      </c>
    </row>
    <row r="178" spans="3:11" ht="87.75" customHeight="1">
      <c r="C178" s="309" t="s">
        <v>1900</v>
      </c>
      <c r="D178" s="269"/>
      <c r="E178" s="276">
        <v>92759</v>
      </c>
      <c r="F178" s="277" t="s">
        <v>797</v>
      </c>
      <c r="G178" s="272">
        <f>'Orç PONTE'!E18</f>
        <v>4808.28</v>
      </c>
      <c r="H178" s="272" t="s">
        <v>791</v>
      </c>
      <c r="I178" s="281">
        <v>13.92</v>
      </c>
      <c r="J178" s="274">
        <f t="shared" si="30"/>
        <v>17.739999999999998</v>
      </c>
      <c r="K178" s="275">
        <f t="shared" si="31"/>
        <v>85298.89</v>
      </c>
    </row>
    <row r="179" spans="3:11" ht="72.75" customHeight="1">
      <c r="C179" s="309" t="s">
        <v>1901</v>
      </c>
      <c r="D179" s="269"/>
      <c r="E179" s="276">
        <v>96555</v>
      </c>
      <c r="F179" s="277" t="s">
        <v>798</v>
      </c>
      <c r="G179" s="272">
        <f>'Orç PONTE'!E19</f>
        <v>62.4</v>
      </c>
      <c r="H179" s="272" t="s">
        <v>0</v>
      </c>
      <c r="I179" s="281">
        <v>924.74</v>
      </c>
      <c r="J179" s="274">
        <f t="shared" si="30"/>
        <v>1178.67</v>
      </c>
      <c r="K179" s="275">
        <f t="shared" si="31"/>
        <v>73549.009999999995</v>
      </c>
    </row>
    <row r="180" spans="3:11" ht="39.950000000000003" customHeight="1">
      <c r="C180" s="1433" t="s">
        <v>1902</v>
      </c>
      <c r="D180" s="1425"/>
      <c r="E180" s="292"/>
      <c r="F180" s="293" t="s">
        <v>799</v>
      </c>
      <c r="G180" s="272"/>
      <c r="H180" s="272"/>
      <c r="I180" s="281"/>
      <c r="J180" s="274"/>
      <c r="K180" s="275"/>
    </row>
    <row r="181" spans="3:11" ht="80.25" customHeight="1">
      <c r="C181" s="309" t="s">
        <v>1903</v>
      </c>
      <c r="D181" s="269"/>
      <c r="E181" s="276">
        <v>101593</v>
      </c>
      <c r="F181" s="277" t="s">
        <v>800</v>
      </c>
      <c r="G181" s="272">
        <f>'Orç PONTE'!E21</f>
        <v>550</v>
      </c>
      <c r="H181" s="272" t="s">
        <v>766</v>
      </c>
      <c r="I181" s="281">
        <v>87.96</v>
      </c>
      <c r="J181" s="274">
        <f t="shared" ref="J181:J185" si="32">I181*(1+$J$16)</f>
        <v>112.11</v>
      </c>
      <c r="K181" s="275">
        <f t="shared" ref="K181:K185" si="33">G181*J181</f>
        <v>61660.5</v>
      </c>
    </row>
    <row r="182" spans="3:11" ht="58.5" customHeight="1">
      <c r="C182" s="309" t="s">
        <v>1904</v>
      </c>
      <c r="D182" s="269"/>
      <c r="E182" s="276">
        <v>92268</v>
      </c>
      <c r="F182" s="277" t="s">
        <v>801</v>
      </c>
      <c r="G182" s="272">
        <f>'Orç PONTE'!E22</f>
        <v>257.35000000000002</v>
      </c>
      <c r="H182" s="272" t="s">
        <v>2</v>
      </c>
      <c r="I182" s="281">
        <v>97.1</v>
      </c>
      <c r="J182" s="274">
        <f t="shared" si="32"/>
        <v>123.76</v>
      </c>
      <c r="K182" s="275">
        <f t="shared" si="33"/>
        <v>31849.64</v>
      </c>
    </row>
    <row r="183" spans="3:11" ht="56.25" customHeight="1">
      <c r="C183" s="309" t="s">
        <v>1905</v>
      </c>
      <c r="D183" s="269"/>
      <c r="E183" s="276">
        <v>92767</v>
      </c>
      <c r="F183" s="277" t="s">
        <v>1725</v>
      </c>
      <c r="G183" s="272">
        <f>'Orç PONTE'!E23</f>
        <v>2575.36</v>
      </c>
      <c r="H183" s="272" t="s">
        <v>791</v>
      </c>
      <c r="I183" s="281">
        <v>15.2</v>
      </c>
      <c r="J183" s="274">
        <f t="shared" si="32"/>
        <v>19.37</v>
      </c>
      <c r="K183" s="275">
        <f t="shared" si="33"/>
        <v>49884.72</v>
      </c>
    </row>
    <row r="184" spans="3:11" ht="78.75" customHeight="1">
      <c r="C184" s="309" t="s">
        <v>1906</v>
      </c>
      <c r="D184" s="269"/>
      <c r="E184" s="276">
        <v>96555</v>
      </c>
      <c r="F184" s="277" t="s">
        <v>798</v>
      </c>
      <c r="G184" s="272">
        <f>'Orç PONTE'!E24</f>
        <v>49.54</v>
      </c>
      <c r="H184" s="272" t="s">
        <v>0</v>
      </c>
      <c r="I184" s="281">
        <v>924.74</v>
      </c>
      <c r="J184" s="274">
        <f t="shared" si="32"/>
        <v>1178.67</v>
      </c>
      <c r="K184" s="275">
        <f t="shared" si="33"/>
        <v>58391.31</v>
      </c>
    </row>
    <row r="185" spans="3:11" ht="87" customHeight="1">
      <c r="C185" s="309" t="s">
        <v>1907</v>
      </c>
      <c r="D185" s="269"/>
      <c r="E185" s="276">
        <v>101793</v>
      </c>
      <c r="F185" s="277" t="s">
        <v>802</v>
      </c>
      <c r="G185" s="272">
        <f>'Orç PONTE'!E25</f>
        <v>1192.5</v>
      </c>
      <c r="H185" s="272" t="s">
        <v>512</v>
      </c>
      <c r="I185" s="281">
        <v>27.74</v>
      </c>
      <c r="J185" s="274">
        <f t="shared" si="32"/>
        <v>35.36</v>
      </c>
      <c r="K185" s="275">
        <f t="shared" si="33"/>
        <v>42166.8</v>
      </c>
    </row>
    <row r="186" spans="3:11" ht="39.950000000000003" customHeight="1">
      <c r="C186" s="309" t="s">
        <v>1908</v>
      </c>
      <c r="D186" s="269"/>
      <c r="E186" s="276"/>
      <c r="F186" s="277" t="s">
        <v>803</v>
      </c>
      <c r="G186" s="272"/>
      <c r="H186" s="272"/>
      <c r="I186" s="281"/>
      <c r="J186" s="274"/>
      <c r="K186" s="275"/>
    </row>
    <row r="187" spans="3:11" ht="66" customHeight="1">
      <c r="C187" s="309" t="s">
        <v>1909</v>
      </c>
      <c r="D187" s="269"/>
      <c r="E187" s="276">
        <v>92268</v>
      </c>
      <c r="F187" s="277" t="s">
        <v>801</v>
      </c>
      <c r="G187" s="272">
        <f>'Orç PONTE'!E27</f>
        <v>95.8</v>
      </c>
      <c r="H187" s="272" t="s">
        <v>2</v>
      </c>
      <c r="I187" s="281">
        <v>97.1</v>
      </c>
      <c r="J187" s="274">
        <f t="shared" ref="J187:J189" si="34">I187*(1+$J$16)</f>
        <v>123.76</v>
      </c>
      <c r="K187" s="275">
        <f t="shared" ref="K187:K189" si="35">G187*J187</f>
        <v>11856.21</v>
      </c>
    </row>
    <row r="188" spans="3:11" ht="53.25" customHeight="1">
      <c r="C188" s="309" t="s">
        <v>1910</v>
      </c>
      <c r="D188" s="269"/>
      <c r="E188" s="276">
        <v>92767</v>
      </c>
      <c r="F188" s="277" t="s">
        <v>1725</v>
      </c>
      <c r="G188" s="272">
        <f>'Orç PONTE'!E28</f>
        <v>1844.82</v>
      </c>
      <c r="H188" s="272" t="s">
        <v>791</v>
      </c>
      <c r="I188" s="281">
        <v>15.2</v>
      </c>
      <c r="J188" s="274">
        <f t="shared" si="34"/>
        <v>19.37</v>
      </c>
      <c r="K188" s="275">
        <f t="shared" si="35"/>
        <v>35734.160000000003</v>
      </c>
    </row>
    <row r="189" spans="3:11" ht="81.75" customHeight="1">
      <c r="C189" s="309" t="s">
        <v>1911</v>
      </c>
      <c r="D189" s="269"/>
      <c r="E189" s="276">
        <v>96555</v>
      </c>
      <c r="F189" s="277" t="s">
        <v>798</v>
      </c>
      <c r="G189" s="272">
        <f>'Orç PONTE'!E29</f>
        <v>19.16</v>
      </c>
      <c r="H189" s="272" t="s">
        <v>512</v>
      </c>
      <c r="I189" s="281">
        <v>924.74</v>
      </c>
      <c r="J189" s="274">
        <f t="shared" si="34"/>
        <v>1178.67</v>
      </c>
      <c r="K189" s="275">
        <f t="shared" si="35"/>
        <v>22583.32</v>
      </c>
    </row>
    <row r="190" spans="3:11" ht="39.950000000000003" customHeight="1">
      <c r="C190" s="1433" t="s">
        <v>1912</v>
      </c>
      <c r="D190" s="1425"/>
      <c r="E190" s="292"/>
      <c r="F190" s="293" t="s">
        <v>804</v>
      </c>
      <c r="G190" s="272"/>
      <c r="H190" s="272"/>
      <c r="I190" s="281"/>
      <c r="J190" s="274"/>
      <c r="K190" s="275"/>
    </row>
    <row r="191" spans="3:11" ht="106.5" customHeight="1">
      <c r="C191" s="309" t="s">
        <v>1913</v>
      </c>
      <c r="D191" s="269"/>
      <c r="E191" s="276">
        <v>41333</v>
      </c>
      <c r="F191" s="277" t="s">
        <v>805</v>
      </c>
      <c r="G191" s="272">
        <f>'Orç PONTE'!E31</f>
        <v>576</v>
      </c>
      <c r="H191" s="272" t="s">
        <v>3</v>
      </c>
      <c r="I191" s="281">
        <v>338.89</v>
      </c>
      <c r="J191" s="274">
        <f t="shared" ref="J191:J192" si="36">I191*(1+$J$16)</f>
        <v>431.95</v>
      </c>
      <c r="K191" s="275">
        <f t="shared" ref="K191:K192" si="37">G191*J191</f>
        <v>248803.20000000001</v>
      </c>
    </row>
    <row r="192" spans="3:11" ht="39.950000000000003" customHeight="1">
      <c r="C192" s="309" t="s">
        <v>1914</v>
      </c>
      <c r="D192" s="269"/>
      <c r="E192" s="276">
        <v>41496</v>
      </c>
      <c r="F192" s="277" t="s">
        <v>806</v>
      </c>
      <c r="G192" s="272">
        <f>'Orç PONTE'!E32</f>
        <v>1</v>
      </c>
      <c r="H192" s="272" t="s">
        <v>807</v>
      </c>
      <c r="I192" s="281">
        <v>15129.68</v>
      </c>
      <c r="J192" s="274">
        <f t="shared" si="36"/>
        <v>19284.29</v>
      </c>
      <c r="K192" s="275">
        <f t="shared" si="37"/>
        <v>19284.29</v>
      </c>
    </row>
    <row r="193" spans="3:11" ht="39.950000000000003" customHeight="1">
      <c r="C193" s="1433" t="s">
        <v>1581</v>
      </c>
      <c r="D193" s="1425"/>
      <c r="E193" s="292"/>
      <c r="F193" s="293" t="s">
        <v>808</v>
      </c>
      <c r="G193" s="272"/>
      <c r="H193" s="272"/>
      <c r="I193" s="281"/>
      <c r="J193" s="274"/>
      <c r="K193" s="275"/>
    </row>
    <row r="194" spans="3:11" ht="60.75" customHeight="1">
      <c r="C194" s="309" t="s">
        <v>1915</v>
      </c>
      <c r="D194" s="269"/>
      <c r="E194" s="276">
        <v>92266</v>
      </c>
      <c r="F194" s="277" t="s">
        <v>796</v>
      </c>
      <c r="G194" s="272">
        <f>'Orç PONTE'!E34</f>
        <v>236.78</v>
      </c>
      <c r="H194" s="272" t="s">
        <v>2</v>
      </c>
      <c r="I194" s="281">
        <v>168.34</v>
      </c>
      <c r="J194" s="274">
        <f t="shared" ref="J194:J196" si="38">I194*(1+$J$16)</f>
        <v>214.57</v>
      </c>
      <c r="K194" s="275">
        <f t="shared" ref="K194:K196" si="39">G194*J194</f>
        <v>50805.88</v>
      </c>
    </row>
    <row r="195" spans="3:11" ht="80.25" customHeight="1">
      <c r="C195" s="309" t="s">
        <v>1916</v>
      </c>
      <c r="D195" s="269"/>
      <c r="E195" s="276">
        <v>92759</v>
      </c>
      <c r="F195" s="277" t="s">
        <v>797</v>
      </c>
      <c r="G195" s="272">
        <f>'Orç PONTE'!E35</f>
        <v>825.2</v>
      </c>
      <c r="H195" s="272" t="s">
        <v>791</v>
      </c>
      <c r="I195" s="281">
        <v>13.92</v>
      </c>
      <c r="J195" s="274">
        <f t="shared" si="38"/>
        <v>17.739999999999998</v>
      </c>
      <c r="K195" s="275">
        <f t="shared" si="39"/>
        <v>14639.05</v>
      </c>
    </row>
    <row r="196" spans="3:11" ht="78.75" customHeight="1">
      <c r="C196" s="309" t="s">
        <v>1917</v>
      </c>
      <c r="D196" s="269"/>
      <c r="E196" s="276">
        <v>96555</v>
      </c>
      <c r="F196" s="277" t="s">
        <v>798</v>
      </c>
      <c r="G196" s="272">
        <f>'Orç PONTE'!E36</f>
        <v>27.38</v>
      </c>
      <c r="H196" s="272" t="s">
        <v>0</v>
      </c>
      <c r="I196" s="281">
        <v>924.74</v>
      </c>
      <c r="J196" s="274">
        <f t="shared" si="38"/>
        <v>1178.67</v>
      </c>
      <c r="K196" s="275">
        <f t="shared" si="39"/>
        <v>32271.98</v>
      </c>
    </row>
    <row r="197" spans="3:11" ht="39.950000000000003" customHeight="1">
      <c r="C197" s="1433" t="s">
        <v>1582</v>
      </c>
      <c r="D197" s="1425"/>
      <c r="E197" s="292"/>
      <c r="F197" s="293" t="s">
        <v>809</v>
      </c>
      <c r="G197" s="272"/>
      <c r="H197" s="272"/>
      <c r="I197" s="281"/>
      <c r="J197" s="274"/>
      <c r="K197" s="275"/>
    </row>
    <row r="198" spans="3:11" ht="63" customHeight="1">
      <c r="C198" s="309" t="s">
        <v>1918</v>
      </c>
      <c r="D198" s="269"/>
      <c r="E198" s="276">
        <v>92266</v>
      </c>
      <c r="F198" s="277" t="s">
        <v>796</v>
      </c>
      <c r="G198" s="272">
        <f>'Orç PONTE'!E38</f>
        <v>324.3</v>
      </c>
      <c r="H198" s="272" t="s">
        <v>2</v>
      </c>
      <c r="I198" s="281">
        <v>168.34</v>
      </c>
      <c r="J198" s="274">
        <f t="shared" ref="J198:J200" si="40">I198*(1+$J$16)</f>
        <v>214.57</v>
      </c>
      <c r="K198" s="275">
        <f t="shared" ref="K198:K200" si="41">G198*J198</f>
        <v>69585.05</v>
      </c>
    </row>
    <row r="199" spans="3:11" ht="84" customHeight="1">
      <c r="C199" s="309" t="s">
        <v>1919</v>
      </c>
      <c r="D199" s="269"/>
      <c r="E199" s="276">
        <v>92759</v>
      </c>
      <c r="F199" s="277" t="s">
        <v>797</v>
      </c>
      <c r="G199" s="272">
        <f>'Orç PONTE'!E39</f>
        <v>1155.6600000000001</v>
      </c>
      <c r="H199" s="272" t="s">
        <v>791</v>
      </c>
      <c r="I199" s="281">
        <v>13.92</v>
      </c>
      <c r="J199" s="274">
        <f t="shared" si="40"/>
        <v>17.739999999999998</v>
      </c>
      <c r="K199" s="275">
        <f t="shared" si="41"/>
        <v>20501.41</v>
      </c>
    </row>
    <row r="200" spans="3:11" ht="80.25" customHeight="1">
      <c r="C200" s="309" t="s">
        <v>1920</v>
      </c>
      <c r="D200" s="269"/>
      <c r="E200" s="276">
        <v>96555</v>
      </c>
      <c r="F200" s="277" t="s">
        <v>798</v>
      </c>
      <c r="G200" s="272">
        <f>'Orç PONTE'!E40</f>
        <v>36.86</v>
      </c>
      <c r="H200" s="272" t="s">
        <v>0</v>
      </c>
      <c r="I200" s="281">
        <v>924.74</v>
      </c>
      <c r="J200" s="274">
        <f t="shared" si="40"/>
        <v>1178.67</v>
      </c>
      <c r="K200" s="275">
        <f t="shared" si="41"/>
        <v>43445.78</v>
      </c>
    </row>
    <row r="201" spans="3:11" ht="39.950000000000003" customHeight="1">
      <c r="C201" s="1433" t="s">
        <v>1583</v>
      </c>
      <c r="D201" s="1425"/>
      <c r="E201" s="292"/>
      <c r="F201" s="293" t="s">
        <v>810</v>
      </c>
      <c r="G201" s="272"/>
      <c r="H201" s="272"/>
      <c r="I201" s="281"/>
      <c r="J201" s="274"/>
      <c r="K201" s="275"/>
    </row>
    <row r="202" spans="3:11" ht="63" customHeight="1">
      <c r="C202" s="309" t="s">
        <v>1815</v>
      </c>
      <c r="D202" s="269"/>
      <c r="E202" s="276">
        <v>92266</v>
      </c>
      <c r="F202" s="277" t="s">
        <v>796</v>
      </c>
      <c r="G202" s="272">
        <f>'Orç PONTE'!E42</f>
        <v>101.2</v>
      </c>
      <c r="H202" s="272" t="s">
        <v>2</v>
      </c>
      <c r="I202" s="281">
        <v>168.34</v>
      </c>
      <c r="J202" s="274">
        <f t="shared" ref="J202:J204" si="42">I202*(1+$J$16)</f>
        <v>214.57</v>
      </c>
      <c r="K202" s="275">
        <f t="shared" ref="K202:K204" si="43">G202*J202</f>
        <v>21714.48</v>
      </c>
    </row>
    <row r="203" spans="3:11" ht="83.25" customHeight="1">
      <c r="C203" s="309" t="s">
        <v>1816</v>
      </c>
      <c r="D203" s="269"/>
      <c r="E203" s="276">
        <v>92759</v>
      </c>
      <c r="F203" s="277" t="s">
        <v>797</v>
      </c>
      <c r="G203" s="272">
        <f>'Orç PONTE'!E43</f>
        <v>200.08</v>
      </c>
      <c r="H203" s="272" t="s">
        <v>791</v>
      </c>
      <c r="I203" s="281">
        <v>13.92</v>
      </c>
      <c r="J203" s="274">
        <f t="shared" si="42"/>
        <v>17.739999999999998</v>
      </c>
      <c r="K203" s="275">
        <f t="shared" si="43"/>
        <v>3549.42</v>
      </c>
    </row>
    <row r="204" spans="3:11" ht="81.75" customHeight="1">
      <c r="C204" s="309" t="s">
        <v>1817</v>
      </c>
      <c r="D204" s="269"/>
      <c r="E204" s="276">
        <v>96555</v>
      </c>
      <c r="F204" s="277" t="s">
        <v>798</v>
      </c>
      <c r="G204" s="272">
        <f>'Orç PONTE'!E44</f>
        <v>4.05</v>
      </c>
      <c r="H204" s="272" t="s">
        <v>0</v>
      </c>
      <c r="I204" s="281">
        <v>924.74</v>
      </c>
      <c r="J204" s="274">
        <f t="shared" si="42"/>
        <v>1178.67</v>
      </c>
      <c r="K204" s="275">
        <f t="shared" si="43"/>
        <v>4773.6099999999997</v>
      </c>
    </row>
    <row r="205" spans="3:11" ht="39.950000000000003" customHeight="1">
      <c r="C205" s="1433" t="s">
        <v>1921</v>
      </c>
      <c r="D205" s="1425"/>
      <c r="E205" s="292"/>
      <c r="F205" s="293" t="s">
        <v>811</v>
      </c>
      <c r="G205" s="272"/>
      <c r="H205" s="272"/>
      <c r="I205" s="281"/>
      <c r="J205" s="274"/>
      <c r="K205" s="275"/>
    </row>
    <row r="206" spans="3:11" ht="39.950000000000003" customHeight="1">
      <c r="C206" s="309" t="s">
        <v>1922</v>
      </c>
      <c r="D206" s="269"/>
      <c r="E206" s="276">
        <v>99811</v>
      </c>
      <c r="F206" s="277" t="s">
        <v>812</v>
      </c>
      <c r="G206" s="272">
        <f>'Orç PONTE'!E46</f>
        <v>265</v>
      </c>
      <c r="H206" s="272" t="s">
        <v>2</v>
      </c>
      <c r="I206" s="281">
        <v>3.29</v>
      </c>
      <c r="J206" s="274">
        <f t="shared" ref="J206" si="44">I206*(1+$J$16)</f>
        <v>4.1900000000000004</v>
      </c>
      <c r="K206" s="275">
        <f t="shared" ref="K206" si="45">G206*J206</f>
        <v>1110.3499999999999</v>
      </c>
    </row>
    <row r="207" spans="3:11" ht="30" customHeight="1">
      <c r="C207" s="1555" t="s">
        <v>597</v>
      </c>
      <c r="D207" s="1556"/>
      <c r="E207" s="1556"/>
      <c r="F207" s="1556"/>
      <c r="G207" s="1556"/>
      <c r="H207" s="1556"/>
      <c r="I207" s="1556"/>
      <c r="J207" s="1557"/>
      <c r="K207" s="294">
        <f>SUM(K166:K206)</f>
        <v>1314164.94</v>
      </c>
    </row>
    <row r="208" spans="3:11" ht="30" customHeight="1">
      <c r="C208" s="306">
        <v>10</v>
      </c>
      <c r="D208" s="307"/>
      <c r="E208" s="307"/>
      <c r="F208" s="308" t="s">
        <v>1651</v>
      </c>
      <c r="G208" s="1553"/>
      <c r="H208" s="1553"/>
      <c r="I208" s="1553"/>
      <c r="J208" s="1553"/>
      <c r="K208" s="1554"/>
    </row>
    <row r="209" spans="3:11" ht="39.950000000000003" customHeight="1">
      <c r="C209" s="309" t="s">
        <v>780</v>
      </c>
      <c r="D209" s="282" t="s">
        <v>184</v>
      </c>
      <c r="E209" s="282">
        <v>260213</v>
      </c>
      <c r="F209" s="279" t="s">
        <v>1584</v>
      </c>
      <c r="G209" s="280">
        <v>500</v>
      </c>
      <c r="H209" s="272" t="s">
        <v>504</v>
      </c>
      <c r="I209" s="281">
        <v>743.19</v>
      </c>
      <c r="J209" s="274">
        <f t="shared" ref="J209:J217" si="46">I209*(1+$J$16)</f>
        <v>947.27</v>
      </c>
      <c r="K209" s="275">
        <f>G209*J209</f>
        <v>473635</v>
      </c>
    </row>
    <row r="210" spans="3:11" ht="39.950000000000003" customHeight="1">
      <c r="C210" s="309" t="s">
        <v>781</v>
      </c>
      <c r="D210" s="282" t="s">
        <v>184</v>
      </c>
      <c r="E210" s="276" t="s">
        <v>1585</v>
      </c>
      <c r="F210" s="279" t="s">
        <v>1586</v>
      </c>
      <c r="G210" s="280">
        <v>15</v>
      </c>
      <c r="H210" s="272" t="s">
        <v>758</v>
      </c>
      <c r="I210" s="281">
        <v>402.78</v>
      </c>
      <c r="J210" s="274">
        <f t="shared" si="46"/>
        <v>513.38</v>
      </c>
      <c r="K210" s="275">
        <f t="shared" ref="K210:K217" si="47">G210*J210</f>
        <v>7700.7</v>
      </c>
    </row>
    <row r="211" spans="3:11" ht="39.950000000000003" customHeight="1">
      <c r="C211" s="309" t="s">
        <v>782</v>
      </c>
      <c r="D211" s="282" t="s">
        <v>1588</v>
      </c>
      <c r="E211" s="276" t="s">
        <v>1606</v>
      </c>
      <c r="F211" s="279" t="s">
        <v>1605</v>
      </c>
      <c r="G211" s="280">
        <v>300</v>
      </c>
      <c r="H211" s="272" t="s">
        <v>3</v>
      </c>
      <c r="I211" s="281">
        <v>124.6</v>
      </c>
      <c r="J211" s="274">
        <f t="shared" si="46"/>
        <v>158.82</v>
      </c>
      <c r="K211" s="275">
        <f t="shared" si="47"/>
        <v>47646</v>
      </c>
    </row>
    <row r="212" spans="3:11" ht="39.950000000000003" customHeight="1">
      <c r="C212" s="309" t="s">
        <v>1841</v>
      </c>
      <c r="D212" s="282" t="s">
        <v>1588</v>
      </c>
      <c r="E212" s="276" t="s">
        <v>1607</v>
      </c>
      <c r="F212" s="279" t="s">
        <v>1608</v>
      </c>
      <c r="G212" s="280">
        <v>4</v>
      </c>
      <c r="H212" s="272" t="s">
        <v>3</v>
      </c>
      <c r="I212" s="281">
        <v>241.94</v>
      </c>
      <c r="J212" s="274">
        <f t="shared" si="46"/>
        <v>308.38</v>
      </c>
      <c r="K212" s="275">
        <f t="shared" si="47"/>
        <v>1233.52</v>
      </c>
    </row>
    <row r="213" spans="3:11" ht="51">
      <c r="C213" s="309" t="s">
        <v>1842</v>
      </c>
      <c r="D213" s="278" t="s">
        <v>186</v>
      </c>
      <c r="E213" s="276" t="s">
        <v>1647</v>
      </c>
      <c r="F213" s="279" t="s">
        <v>1648</v>
      </c>
      <c r="G213" s="280">
        <f>3.195*70+1.5*70/2*0.3*0.45</f>
        <v>230.74</v>
      </c>
      <c r="H213" s="272" t="s">
        <v>0</v>
      </c>
      <c r="I213" s="281">
        <v>730.82</v>
      </c>
      <c r="J213" s="274">
        <f t="shared" si="46"/>
        <v>931.5</v>
      </c>
      <c r="K213" s="275">
        <f t="shared" si="47"/>
        <v>214934.31</v>
      </c>
    </row>
    <row r="214" spans="3:11" ht="76.5">
      <c r="C214" s="309" t="s">
        <v>1843</v>
      </c>
      <c r="D214" s="278" t="s">
        <v>186</v>
      </c>
      <c r="E214" s="276" t="s">
        <v>1649</v>
      </c>
      <c r="F214" s="279" t="s">
        <v>1650</v>
      </c>
      <c r="G214" s="280">
        <f>3.4*2*60</f>
        <v>408</v>
      </c>
      <c r="H214" s="272" t="s">
        <v>2</v>
      </c>
      <c r="I214" s="281">
        <v>243.93</v>
      </c>
      <c r="J214" s="274">
        <f t="shared" si="46"/>
        <v>310.91000000000003</v>
      </c>
      <c r="K214" s="275">
        <f t="shared" si="47"/>
        <v>126851.28</v>
      </c>
    </row>
    <row r="215" spans="3:11" hidden="1">
      <c r="C215" s="309" t="s">
        <v>1581</v>
      </c>
      <c r="D215" s="282"/>
      <c r="E215" s="276"/>
      <c r="F215" s="279"/>
      <c r="G215" s="280"/>
      <c r="H215" s="272"/>
      <c r="I215" s="281"/>
      <c r="J215" s="274">
        <f t="shared" si="46"/>
        <v>0</v>
      </c>
      <c r="K215" s="275">
        <f t="shared" si="47"/>
        <v>0</v>
      </c>
    </row>
    <row r="216" spans="3:11" ht="28.15" hidden="1" customHeight="1">
      <c r="C216" s="309" t="s">
        <v>1582</v>
      </c>
      <c r="D216" s="282"/>
      <c r="E216" s="276"/>
      <c r="F216" s="279"/>
      <c r="G216" s="280"/>
      <c r="H216" s="272"/>
      <c r="I216" s="281"/>
      <c r="J216" s="274">
        <f t="shared" si="46"/>
        <v>0</v>
      </c>
      <c r="K216" s="275">
        <f t="shared" si="47"/>
        <v>0</v>
      </c>
    </row>
    <row r="217" spans="3:11" ht="28.15" hidden="1" customHeight="1">
      <c r="C217" s="309" t="s">
        <v>1583</v>
      </c>
      <c r="D217" s="282"/>
      <c r="E217" s="276"/>
      <c r="F217" s="279"/>
      <c r="G217" s="280"/>
      <c r="H217" s="272"/>
      <c r="I217" s="281"/>
      <c r="J217" s="274">
        <f t="shared" si="46"/>
        <v>0</v>
      </c>
      <c r="K217" s="275">
        <f t="shared" si="47"/>
        <v>0</v>
      </c>
    </row>
    <row r="218" spans="3:11" ht="30" customHeight="1">
      <c r="C218" s="1555" t="s">
        <v>1560</v>
      </c>
      <c r="D218" s="1556"/>
      <c r="E218" s="1556"/>
      <c r="F218" s="1556"/>
      <c r="G218" s="1556"/>
      <c r="H218" s="1556"/>
      <c r="I218" s="1556"/>
      <c r="J218" s="1557"/>
      <c r="K218" s="294">
        <f>SUM(K209:K217)</f>
        <v>872000.81</v>
      </c>
    </row>
    <row r="219" spans="3:11" ht="30" customHeight="1">
      <c r="C219" s="306">
        <v>11</v>
      </c>
      <c r="D219" s="307"/>
      <c r="E219" s="307"/>
      <c r="F219" s="308" t="s">
        <v>940</v>
      </c>
      <c r="G219" s="1553"/>
      <c r="H219" s="1553"/>
      <c r="I219" s="1553"/>
      <c r="J219" s="1553"/>
      <c r="K219" s="1554"/>
    </row>
    <row r="220" spans="3:11" ht="39.950000000000003" customHeight="1">
      <c r="C220" s="1433" t="s">
        <v>849</v>
      </c>
      <c r="D220" s="282"/>
      <c r="E220" s="276"/>
      <c r="F220" s="467" t="s">
        <v>960</v>
      </c>
      <c r="G220" s="280"/>
      <c r="H220" s="272"/>
      <c r="I220" s="281"/>
      <c r="J220" s="274"/>
      <c r="K220" s="275"/>
    </row>
    <row r="221" spans="3:11" ht="39.950000000000003" customHeight="1">
      <c r="C221" s="309" t="s">
        <v>1844</v>
      </c>
      <c r="D221" s="282"/>
      <c r="E221" s="282" t="s">
        <v>1821</v>
      </c>
      <c r="F221" s="279" t="s">
        <v>962</v>
      </c>
      <c r="G221" s="280">
        <f>'PREV INUNDAÇÕES'!G11</f>
        <v>8</v>
      </c>
      <c r="H221" s="272" t="s">
        <v>963</v>
      </c>
      <c r="I221" s="281">
        <v>57048.76</v>
      </c>
      <c r="J221" s="274">
        <f t="shared" ref="J221:J222" si="48">I221*(1+$J$16)</f>
        <v>72714.350000000006</v>
      </c>
      <c r="K221" s="275">
        <f t="shared" ref="K221:K222" si="49">G221*J221</f>
        <v>581714.80000000005</v>
      </c>
    </row>
    <row r="222" spans="3:11" ht="39.950000000000003" customHeight="1">
      <c r="C222" s="309" t="s">
        <v>1845</v>
      </c>
      <c r="D222" s="282"/>
      <c r="E222" s="282" t="s">
        <v>1822</v>
      </c>
      <c r="F222" s="279" t="s">
        <v>965</v>
      </c>
      <c r="G222" s="280">
        <f>'PREV INUNDAÇÕES'!G12</f>
        <v>1593.6</v>
      </c>
      <c r="H222" s="272" t="s">
        <v>280</v>
      </c>
      <c r="I222" s="281">
        <f>Composição2!F35</f>
        <v>1.96</v>
      </c>
      <c r="J222" s="274">
        <f t="shared" si="48"/>
        <v>2.5</v>
      </c>
      <c r="K222" s="275">
        <f t="shared" si="49"/>
        <v>3984</v>
      </c>
    </row>
    <row r="223" spans="3:11" ht="39.950000000000003" customHeight="1">
      <c r="C223" s="1433" t="s">
        <v>853</v>
      </c>
      <c r="D223" s="282"/>
      <c r="E223" s="282"/>
      <c r="F223" s="467" t="s">
        <v>966</v>
      </c>
      <c r="G223" s="280"/>
      <c r="H223" s="272"/>
      <c r="I223" s="281"/>
      <c r="J223" s="274"/>
      <c r="K223" s="275"/>
    </row>
    <row r="224" spans="3:11" ht="39.950000000000003" customHeight="1">
      <c r="C224" s="309" t="s">
        <v>1846</v>
      </c>
      <c r="D224" s="282"/>
      <c r="E224" s="282" t="s">
        <v>1823</v>
      </c>
      <c r="F224" s="279" t="s">
        <v>969</v>
      </c>
      <c r="G224" s="280">
        <f>'PREV INUNDAÇÕES'!G14</f>
        <v>1</v>
      </c>
      <c r="H224" s="272" t="s">
        <v>970</v>
      </c>
      <c r="I224" s="281">
        <v>46456.41</v>
      </c>
      <c r="J224" s="274">
        <f t="shared" ref="J224:J225" si="50">I224*(1+$J$16)</f>
        <v>59213.34</v>
      </c>
      <c r="K224" s="275">
        <f t="shared" ref="K224:K225" si="51">G224*J224</f>
        <v>59213.34</v>
      </c>
    </row>
    <row r="225" spans="3:11" ht="39.950000000000003" customHeight="1">
      <c r="C225" s="309" t="s">
        <v>1847</v>
      </c>
      <c r="D225" s="282"/>
      <c r="E225" s="282" t="s">
        <v>1823</v>
      </c>
      <c r="F225" s="279" t="s">
        <v>973</v>
      </c>
      <c r="G225" s="280">
        <f>'PREV INUNDAÇÕES'!G15</f>
        <v>1</v>
      </c>
      <c r="H225" s="272" t="s">
        <v>970</v>
      </c>
      <c r="I225" s="281">
        <v>46456.41</v>
      </c>
      <c r="J225" s="274">
        <f t="shared" si="50"/>
        <v>59213.34</v>
      </c>
      <c r="K225" s="275">
        <f t="shared" si="51"/>
        <v>59213.34</v>
      </c>
    </row>
    <row r="226" spans="3:11" ht="39.950000000000003" hidden="1" customHeight="1">
      <c r="C226" s="309" t="s">
        <v>443</v>
      </c>
      <c r="D226" s="282"/>
      <c r="E226" s="282"/>
      <c r="F226" s="279" t="s">
        <v>974</v>
      </c>
      <c r="G226" s="280"/>
      <c r="H226" s="272"/>
      <c r="I226" s="281"/>
      <c r="J226" s="274"/>
      <c r="K226" s="275"/>
    </row>
    <row r="227" spans="3:11" ht="39.950000000000003" hidden="1" customHeight="1">
      <c r="C227" s="309" t="s">
        <v>975</v>
      </c>
      <c r="D227" s="282"/>
      <c r="E227" s="282">
        <v>93207</v>
      </c>
      <c r="F227" s="279" t="s">
        <v>976</v>
      </c>
      <c r="G227" s="280"/>
      <c r="H227" s="272" t="s">
        <v>280</v>
      </c>
      <c r="I227" s="281">
        <v>1168.68</v>
      </c>
      <c r="J227" s="274"/>
      <c r="K227" s="275"/>
    </row>
    <row r="228" spans="3:11" ht="39.950000000000003" hidden="1" customHeight="1">
      <c r="C228" s="309" t="s">
        <v>977</v>
      </c>
      <c r="D228" s="282"/>
      <c r="E228" s="282">
        <v>93208</v>
      </c>
      <c r="F228" s="279" t="s">
        <v>978</v>
      </c>
      <c r="G228" s="280"/>
      <c r="H228" s="272" t="s">
        <v>280</v>
      </c>
      <c r="I228" s="281">
        <v>901.43</v>
      </c>
      <c r="J228" s="274"/>
      <c r="K228" s="275"/>
    </row>
    <row r="229" spans="3:11" ht="39.950000000000003" hidden="1" customHeight="1">
      <c r="C229" s="309" t="s">
        <v>979</v>
      </c>
      <c r="D229" s="282"/>
      <c r="E229" s="282">
        <v>93210</v>
      </c>
      <c r="F229" s="279" t="s">
        <v>980</v>
      </c>
      <c r="G229" s="280"/>
      <c r="H229" s="272" t="s">
        <v>280</v>
      </c>
      <c r="I229" s="281">
        <v>645.16</v>
      </c>
      <c r="J229" s="274"/>
      <c r="K229" s="275"/>
    </row>
    <row r="230" spans="3:11" ht="39.950000000000003" hidden="1" customHeight="1">
      <c r="C230" s="309" t="s">
        <v>981</v>
      </c>
      <c r="D230" s="282"/>
      <c r="E230" s="282">
        <v>93212</v>
      </c>
      <c r="F230" s="279" t="s">
        <v>982</v>
      </c>
      <c r="G230" s="280"/>
      <c r="H230" s="272" t="s">
        <v>280</v>
      </c>
      <c r="I230" s="281">
        <v>1023.22</v>
      </c>
      <c r="J230" s="274"/>
      <c r="K230" s="275"/>
    </row>
    <row r="231" spans="3:11" ht="39.950000000000003" hidden="1" customHeight="1">
      <c r="C231" s="309" t="s">
        <v>983</v>
      </c>
      <c r="D231" s="282"/>
      <c r="E231" s="282">
        <v>98068</v>
      </c>
      <c r="F231" s="279" t="s">
        <v>984</v>
      </c>
      <c r="G231" s="280"/>
      <c r="H231" s="272" t="s">
        <v>970</v>
      </c>
      <c r="I231" s="281">
        <v>9115.9699999999993</v>
      </c>
      <c r="J231" s="274"/>
      <c r="K231" s="275"/>
    </row>
    <row r="232" spans="3:11" ht="39.950000000000003" hidden="1" customHeight="1">
      <c r="C232" s="309" t="s">
        <v>985</v>
      </c>
      <c r="D232" s="282"/>
      <c r="E232" s="282">
        <v>98080</v>
      </c>
      <c r="F232" s="279" t="s">
        <v>986</v>
      </c>
      <c r="G232" s="280"/>
      <c r="H232" s="272" t="s">
        <v>970</v>
      </c>
      <c r="I232" s="281">
        <v>10038.75</v>
      </c>
      <c r="J232" s="274"/>
      <c r="K232" s="275"/>
    </row>
    <row r="233" spans="3:11" ht="39.950000000000003" hidden="1" customHeight="1">
      <c r="C233" s="309" t="s">
        <v>987</v>
      </c>
      <c r="D233" s="282"/>
      <c r="E233" s="282">
        <v>101505</v>
      </c>
      <c r="F233" s="279" t="s">
        <v>988</v>
      </c>
      <c r="G233" s="280"/>
      <c r="H233" s="272" t="s">
        <v>970</v>
      </c>
      <c r="I233" s="281">
        <v>1712.9</v>
      </c>
      <c r="J233" s="274"/>
      <c r="K233" s="275"/>
    </row>
    <row r="234" spans="3:11" ht="39.950000000000003" hidden="1" customHeight="1">
      <c r="C234" s="309" t="s">
        <v>989</v>
      </c>
      <c r="D234" s="282"/>
      <c r="E234" s="282" t="s">
        <v>1825</v>
      </c>
      <c r="F234" s="279" t="s">
        <v>991</v>
      </c>
      <c r="G234" s="280"/>
      <c r="H234" s="272" t="s">
        <v>280</v>
      </c>
      <c r="I234" s="281">
        <v>372.35</v>
      </c>
      <c r="J234" s="274"/>
      <c r="K234" s="275"/>
    </row>
    <row r="235" spans="3:11" ht="39.950000000000003" customHeight="1">
      <c r="C235" s="1433" t="s">
        <v>876</v>
      </c>
      <c r="D235" s="282"/>
      <c r="E235" s="282"/>
      <c r="F235" s="467" t="s">
        <v>1552</v>
      </c>
      <c r="G235" s="280"/>
      <c r="H235" s="272"/>
      <c r="I235" s="281"/>
      <c r="J235" s="274"/>
      <c r="K235" s="275"/>
    </row>
    <row r="236" spans="3:11" ht="39.950000000000003" customHeight="1">
      <c r="C236" s="309" t="s">
        <v>1848</v>
      </c>
      <c r="D236" s="282"/>
      <c r="E236" s="282"/>
      <c r="F236" s="467" t="s">
        <v>993</v>
      </c>
      <c r="G236" s="280"/>
      <c r="H236" s="272"/>
      <c r="I236" s="281"/>
      <c r="J236" s="274"/>
      <c r="K236" s="275"/>
    </row>
    <row r="237" spans="3:11" ht="39.950000000000003" hidden="1" customHeight="1">
      <c r="C237" s="309" t="s">
        <v>994</v>
      </c>
      <c r="D237" s="282"/>
      <c r="E237" s="282">
        <v>5501700</v>
      </c>
      <c r="F237" s="279" t="s">
        <v>995</v>
      </c>
      <c r="G237" s="280">
        <f>'PREV INUNDAÇÕES'!G27</f>
        <v>0</v>
      </c>
      <c r="H237" s="272" t="s">
        <v>280</v>
      </c>
      <c r="I237" s="281">
        <v>0.56000000000000005</v>
      </c>
      <c r="J237" s="274">
        <f t="shared" ref="J237:J240" si="52">I237*(1+$J$16)</f>
        <v>0.71</v>
      </c>
      <c r="K237" s="275">
        <f t="shared" ref="K237:K240" si="53">G237*J237</f>
        <v>0</v>
      </c>
    </row>
    <row r="238" spans="3:11" ht="51">
      <c r="C238" s="309" t="s">
        <v>1849</v>
      </c>
      <c r="D238" s="282"/>
      <c r="E238" s="282">
        <v>98525</v>
      </c>
      <c r="F238" s="279" t="s">
        <v>997</v>
      </c>
      <c r="G238" s="280">
        <f>'PREV INUNDAÇÕES'!G28</f>
        <v>7680</v>
      </c>
      <c r="H238" s="272" t="s">
        <v>280</v>
      </c>
      <c r="I238" s="281">
        <v>0.61</v>
      </c>
      <c r="J238" s="274">
        <f t="shared" si="52"/>
        <v>0.78</v>
      </c>
      <c r="K238" s="275">
        <f t="shared" si="53"/>
        <v>5990.4</v>
      </c>
    </row>
    <row r="239" spans="3:11" ht="39.950000000000003" hidden="1" customHeight="1">
      <c r="C239" s="309" t="s">
        <v>1850</v>
      </c>
      <c r="D239" s="282"/>
      <c r="E239" s="282">
        <v>98526</v>
      </c>
      <c r="F239" s="279" t="s">
        <v>999</v>
      </c>
      <c r="G239" s="280">
        <f>'PREV INUNDAÇÕES'!G29</f>
        <v>0</v>
      </c>
      <c r="H239" s="272" t="s">
        <v>970</v>
      </c>
      <c r="I239" s="281">
        <v>77.62</v>
      </c>
      <c r="J239" s="274">
        <f t="shared" si="52"/>
        <v>98.93</v>
      </c>
      <c r="K239" s="275">
        <f t="shared" si="53"/>
        <v>0</v>
      </c>
    </row>
    <row r="240" spans="3:11" ht="39.950000000000003" hidden="1" customHeight="1">
      <c r="C240" s="309" t="s">
        <v>1851</v>
      </c>
      <c r="D240" s="282"/>
      <c r="E240" s="282">
        <v>98527</v>
      </c>
      <c r="F240" s="279" t="s">
        <v>1001</v>
      </c>
      <c r="G240" s="280">
        <f>'PREV INUNDAÇÕES'!G30</f>
        <v>0</v>
      </c>
      <c r="H240" s="272" t="s">
        <v>970</v>
      </c>
      <c r="I240" s="281">
        <v>167.13</v>
      </c>
      <c r="J240" s="274">
        <f t="shared" si="52"/>
        <v>213.02</v>
      </c>
      <c r="K240" s="275">
        <f t="shared" si="53"/>
        <v>0</v>
      </c>
    </row>
    <row r="241" spans="3:11" ht="39.950000000000003" hidden="1" customHeight="1">
      <c r="C241" s="309" t="s">
        <v>1852</v>
      </c>
      <c r="D241" s="282"/>
      <c r="E241" s="282" t="s">
        <v>1003</v>
      </c>
      <c r="F241" s="279" t="s">
        <v>1004</v>
      </c>
      <c r="G241" s="280">
        <f>'PREV INUNDAÇÕES'!G31</f>
        <v>0</v>
      </c>
      <c r="H241" s="272" t="s">
        <v>970</v>
      </c>
      <c r="I241" s="281"/>
      <c r="J241" s="274"/>
      <c r="K241" s="275"/>
    </row>
    <row r="242" spans="3:11" ht="51">
      <c r="C242" s="309" t="s">
        <v>1850</v>
      </c>
      <c r="D242" s="282"/>
      <c r="E242" s="282">
        <v>100973</v>
      </c>
      <c r="F242" s="279" t="s">
        <v>1006</v>
      </c>
      <c r="G242" s="280">
        <f>'PREV INUNDAÇÕES'!G32</f>
        <v>1152</v>
      </c>
      <c r="H242" s="272" t="s">
        <v>195</v>
      </c>
      <c r="I242" s="281">
        <v>9.1199999999999992</v>
      </c>
      <c r="J242" s="274">
        <f t="shared" ref="J242:J243" si="54">I242*(1+$J$16)</f>
        <v>11.62</v>
      </c>
      <c r="K242" s="275">
        <f t="shared" ref="K242:K243" si="55">G242*J242</f>
        <v>13386.24</v>
      </c>
    </row>
    <row r="243" spans="3:11" ht="76.5">
      <c r="C243" s="309" t="s">
        <v>1851</v>
      </c>
      <c r="D243" s="282"/>
      <c r="E243" s="282">
        <v>97914</v>
      </c>
      <c r="F243" s="279" t="s">
        <v>1008</v>
      </c>
      <c r="G243" s="280">
        <f>'PREV INUNDAÇÕES'!G33</f>
        <v>14676.48</v>
      </c>
      <c r="H243" s="272" t="s">
        <v>1009</v>
      </c>
      <c r="I243" s="281">
        <v>2.9</v>
      </c>
      <c r="J243" s="274">
        <f t="shared" si="54"/>
        <v>3.7</v>
      </c>
      <c r="K243" s="275">
        <f t="shared" si="55"/>
        <v>54302.98</v>
      </c>
    </row>
    <row r="244" spans="3:11" ht="39.950000000000003" customHeight="1">
      <c r="C244" s="1433" t="s">
        <v>879</v>
      </c>
      <c r="D244" s="282"/>
      <c r="E244" s="282"/>
      <c r="F244" s="467" t="s">
        <v>1553</v>
      </c>
      <c r="G244" s="280"/>
      <c r="H244" s="272"/>
      <c r="I244" s="281"/>
      <c r="J244" s="274"/>
      <c r="K244" s="275"/>
    </row>
    <row r="245" spans="3:11" ht="39.950000000000003" customHeight="1">
      <c r="C245" s="309" t="s">
        <v>1853</v>
      </c>
      <c r="D245" s="282"/>
      <c r="E245" s="282" t="s">
        <v>1824</v>
      </c>
      <c r="F245" s="279" t="s">
        <v>1013</v>
      </c>
      <c r="G245" s="280">
        <f>'PREV INUNDAÇÕES'!G35</f>
        <v>2304</v>
      </c>
      <c r="H245" s="272" t="s">
        <v>195</v>
      </c>
      <c r="I245" s="281">
        <v>38.369999999999997</v>
      </c>
      <c r="J245" s="274">
        <f t="shared" ref="J245:J247" si="56">I245*(1+$J$16)</f>
        <v>48.91</v>
      </c>
      <c r="K245" s="275">
        <f t="shared" ref="K245:K247" si="57">G245*J245</f>
        <v>112688.64</v>
      </c>
    </row>
    <row r="246" spans="3:11" ht="39.950000000000003" customHeight="1">
      <c r="C246" s="309" t="s">
        <v>1854</v>
      </c>
      <c r="D246" s="282"/>
      <c r="E246" s="282" t="s">
        <v>1827</v>
      </c>
      <c r="F246" s="279" t="s">
        <v>1016</v>
      </c>
      <c r="G246" s="280">
        <f>'PREV INUNDAÇÕES'!G36</f>
        <v>3369.28</v>
      </c>
      <c r="H246" s="272" t="s">
        <v>195</v>
      </c>
      <c r="I246" s="281">
        <f>Composição5!F37</f>
        <v>20.51</v>
      </c>
      <c r="J246" s="274">
        <f t="shared" si="56"/>
        <v>26.14</v>
      </c>
      <c r="K246" s="275">
        <f t="shared" si="57"/>
        <v>88072.98</v>
      </c>
    </row>
    <row r="247" spans="3:11" ht="76.5">
      <c r="C247" s="309" t="s">
        <v>1855</v>
      </c>
      <c r="D247" s="282"/>
      <c r="E247" s="282">
        <v>97914</v>
      </c>
      <c r="F247" s="279" t="s">
        <v>1008</v>
      </c>
      <c r="G247" s="280">
        <f>'PREV INUNDAÇÕES'!G37</f>
        <v>72277.600000000006</v>
      </c>
      <c r="H247" s="272" t="s">
        <v>1009</v>
      </c>
      <c r="I247" s="281">
        <v>2.9</v>
      </c>
      <c r="J247" s="274">
        <f t="shared" si="56"/>
        <v>3.7</v>
      </c>
      <c r="K247" s="275">
        <f t="shared" si="57"/>
        <v>267427.12</v>
      </c>
    </row>
    <row r="248" spans="3:11" ht="39.950000000000003" customHeight="1">
      <c r="C248" s="1433" t="s">
        <v>881</v>
      </c>
      <c r="D248" s="282"/>
      <c r="E248" s="282"/>
      <c r="F248" s="467" t="s">
        <v>1019</v>
      </c>
      <c r="G248" s="280"/>
      <c r="H248" s="272"/>
      <c r="I248" s="281"/>
      <c r="J248" s="274"/>
      <c r="K248" s="275"/>
    </row>
    <row r="249" spans="3:11" ht="51">
      <c r="C249" s="309" t="s">
        <v>1856</v>
      </c>
      <c r="D249" s="282"/>
      <c r="E249" s="282">
        <v>94327</v>
      </c>
      <c r="F249" s="279" t="s">
        <v>1021</v>
      </c>
      <c r="G249" s="280">
        <f>'PREV INUNDAÇÕES'!G39</f>
        <v>796.8</v>
      </c>
      <c r="H249" s="272" t="s">
        <v>195</v>
      </c>
      <c r="I249" s="281">
        <v>84.55</v>
      </c>
      <c r="J249" s="274">
        <f t="shared" ref="J249:J258" si="58">I249*(1+$J$16)</f>
        <v>107.77</v>
      </c>
      <c r="K249" s="275">
        <f t="shared" ref="K249:K258" si="59">G249*J249</f>
        <v>85871.14</v>
      </c>
    </row>
    <row r="250" spans="3:11" ht="76.5">
      <c r="C250" s="309" t="s">
        <v>1857</v>
      </c>
      <c r="D250" s="282"/>
      <c r="E250" s="282">
        <v>95877</v>
      </c>
      <c r="F250" s="279" t="s">
        <v>1023</v>
      </c>
      <c r="G250" s="280">
        <f>'PREV INUNDAÇÕES'!G40</f>
        <v>31075.200000000001</v>
      </c>
      <c r="H250" s="272" t="s">
        <v>1009</v>
      </c>
      <c r="I250" s="281">
        <v>1.83</v>
      </c>
      <c r="J250" s="274">
        <f t="shared" si="58"/>
        <v>2.33</v>
      </c>
      <c r="K250" s="275">
        <f t="shared" si="59"/>
        <v>72405.22</v>
      </c>
    </row>
    <row r="251" spans="3:11" ht="76.5">
      <c r="C251" s="309" t="s">
        <v>1858</v>
      </c>
      <c r="D251" s="282"/>
      <c r="E251" s="282">
        <v>93590</v>
      </c>
      <c r="F251" s="279" t="s">
        <v>1025</v>
      </c>
      <c r="G251" s="280">
        <f>'PREV INUNDAÇÕES'!G41</f>
        <v>7665.28</v>
      </c>
      <c r="H251" s="272" t="s">
        <v>1009</v>
      </c>
      <c r="I251" s="281">
        <v>0.96</v>
      </c>
      <c r="J251" s="274">
        <f t="shared" si="58"/>
        <v>1.22</v>
      </c>
      <c r="K251" s="275">
        <f t="shared" si="59"/>
        <v>9351.64</v>
      </c>
    </row>
    <row r="252" spans="3:11" ht="76.5">
      <c r="C252" s="309" t="s">
        <v>1859</v>
      </c>
      <c r="D252" s="282"/>
      <c r="E252" s="282">
        <v>101125</v>
      </c>
      <c r="F252" s="279" t="s">
        <v>1027</v>
      </c>
      <c r="G252" s="280">
        <f>'PREV INUNDAÇÕES'!G42</f>
        <v>6470.08</v>
      </c>
      <c r="H252" s="272" t="s">
        <v>195</v>
      </c>
      <c r="I252" s="281">
        <v>14.54</v>
      </c>
      <c r="J252" s="274">
        <f t="shared" si="58"/>
        <v>18.53</v>
      </c>
      <c r="K252" s="275">
        <f t="shared" si="59"/>
        <v>119890.58</v>
      </c>
    </row>
    <row r="253" spans="3:11" ht="51">
      <c r="C253" s="309" t="s">
        <v>1860</v>
      </c>
      <c r="D253" s="282"/>
      <c r="E253" s="282">
        <v>6079</v>
      </c>
      <c r="F253" s="279" t="s">
        <v>521</v>
      </c>
      <c r="G253" s="280">
        <f>'PREV INUNDAÇÕES'!G43</f>
        <v>6470.08</v>
      </c>
      <c r="H253" s="272" t="s">
        <v>195</v>
      </c>
      <c r="I253" s="281">
        <v>37.35</v>
      </c>
      <c r="J253" s="274">
        <f t="shared" si="58"/>
        <v>47.61</v>
      </c>
      <c r="K253" s="275">
        <f t="shared" si="59"/>
        <v>308040.51</v>
      </c>
    </row>
    <row r="254" spans="3:11" ht="76.5">
      <c r="C254" s="309" t="s">
        <v>1861</v>
      </c>
      <c r="D254" s="282"/>
      <c r="E254" s="282">
        <v>95877</v>
      </c>
      <c r="F254" s="279" t="s">
        <v>1023</v>
      </c>
      <c r="G254" s="280">
        <f>'PREV INUNDAÇÕES'!G44</f>
        <v>252333.12</v>
      </c>
      <c r="H254" s="272" t="s">
        <v>1009</v>
      </c>
      <c r="I254" s="281">
        <v>1.83</v>
      </c>
      <c r="J254" s="274">
        <f t="shared" si="58"/>
        <v>2.33</v>
      </c>
      <c r="K254" s="275">
        <f t="shared" si="59"/>
        <v>587936.17000000004</v>
      </c>
    </row>
    <row r="255" spans="3:11" ht="76.5">
      <c r="C255" s="309" t="s">
        <v>1862</v>
      </c>
      <c r="D255" s="282"/>
      <c r="E255" s="282">
        <v>93590</v>
      </c>
      <c r="F255" s="279" t="s">
        <v>1025</v>
      </c>
      <c r="G255" s="280">
        <f>'PREV INUNDAÇÕES'!G45</f>
        <v>62242.239999999998</v>
      </c>
      <c r="H255" s="272" t="s">
        <v>1009</v>
      </c>
      <c r="I255" s="281">
        <v>0.96</v>
      </c>
      <c r="J255" s="274">
        <f t="shared" si="58"/>
        <v>1.22</v>
      </c>
      <c r="K255" s="275">
        <f t="shared" si="59"/>
        <v>75935.53</v>
      </c>
    </row>
    <row r="256" spans="3:11" ht="76.5">
      <c r="C256" s="309" t="s">
        <v>1863</v>
      </c>
      <c r="D256" s="282"/>
      <c r="E256" s="282">
        <v>96385</v>
      </c>
      <c r="F256" s="279" t="s">
        <v>1032</v>
      </c>
      <c r="G256" s="280">
        <f>'PREV INUNDAÇÕES'!G46</f>
        <v>6470.08</v>
      </c>
      <c r="H256" s="272" t="s">
        <v>195</v>
      </c>
      <c r="I256" s="281">
        <v>11.39</v>
      </c>
      <c r="J256" s="274">
        <f t="shared" si="58"/>
        <v>14.52</v>
      </c>
      <c r="K256" s="275">
        <f t="shared" si="59"/>
        <v>93945.56</v>
      </c>
    </row>
    <row r="257" spans="3:11" ht="39.950000000000003" customHeight="1">
      <c r="C257" s="309" t="s">
        <v>1864</v>
      </c>
      <c r="D257" s="282"/>
      <c r="E257" s="282" t="s">
        <v>1828</v>
      </c>
      <c r="F257" s="279" t="s">
        <v>1035</v>
      </c>
      <c r="G257" s="280">
        <f>'PREV INUNDAÇÕES'!G47</f>
        <v>384</v>
      </c>
      <c r="H257" s="272" t="s">
        <v>195</v>
      </c>
      <c r="I257" s="281">
        <v>473.86</v>
      </c>
      <c r="J257" s="274">
        <f t="shared" si="58"/>
        <v>603.98</v>
      </c>
      <c r="K257" s="275">
        <f t="shared" si="59"/>
        <v>231928.32000000001</v>
      </c>
    </row>
    <row r="258" spans="3:11" ht="39.950000000000003" customHeight="1">
      <c r="C258" s="309" t="s">
        <v>1865</v>
      </c>
      <c r="D258" s="282"/>
      <c r="E258" s="282" t="s">
        <v>1037</v>
      </c>
      <c r="F258" s="279" t="s">
        <v>1038</v>
      </c>
      <c r="G258" s="280">
        <f>'PREV INUNDAÇÕES'!G48</f>
        <v>140</v>
      </c>
      <c r="H258" s="272" t="s">
        <v>504</v>
      </c>
      <c r="I258" s="281">
        <v>824.87</v>
      </c>
      <c r="J258" s="274">
        <f t="shared" si="58"/>
        <v>1051.3800000000001</v>
      </c>
      <c r="K258" s="275">
        <f t="shared" si="59"/>
        <v>147193.20000000001</v>
      </c>
    </row>
    <row r="259" spans="3:11" ht="39.950000000000003" customHeight="1">
      <c r="C259" s="1433" t="s">
        <v>1866</v>
      </c>
      <c r="D259" s="282"/>
      <c r="E259" s="282"/>
      <c r="F259" s="467" t="s">
        <v>1685</v>
      </c>
      <c r="G259" s="280"/>
      <c r="H259" s="272"/>
      <c r="I259" s="281"/>
      <c r="J259" s="274"/>
      <c r="K259" s="275"/>
    </row>
    <row r="260" spans="3:11" ht="102">
      <c r="C260" s="309" t="s">
        <v>1867</v>
      </c>
      <c r="D260" s="282"/>
      <c r="E260" s="282">
        <v>92743</v>
      </c>
      <c r="F260" s="279" t="s">
        <v>1667</v>
      </c>
      <c r="G260" s="280">
        <f>'PREV INUNDAÇÕES'!G50</f>
        <v>16</v>
      </c>
      <c r="H260" s="272" t="s">
        <v>195</v>
      </c>
      <c r="I260" s="281">
        <v>871.97</v>
      </c>
      <c r="J260" s="274">
        <f t="shared" ref="J260:J266" si="60">I260*(1+$J$16)</f>
        <v>1111.4100000000001</v>
      </c>
      <c r="K260" s="275">
        <f t="shared" ref="K260:K266" si="61">G260*J260</f>
        <v>17782.560000000001</v>
      </c>
    </row>
    <row r="261" spans="3:11" ht="76.5">
      <c r="C261" s="309" t="s">
        <v>1868</v>
      </c>
      <c r="D261" s="282"/>
      <c r="E261" s="282">
        <v>92756</v>
      </c>
      <c r="F261" s="279" t="s">
        <v>1668</v>
      </c>
      <c r="G261" s="280">
        <f>'PREV INUNDAÇÕES'!G51</f>
        <v>101.76</v>
      </c>
      <c r="H261" s="272" t="s">
        <v>280</v>
      </c>
      <c r="I261" s="281">
        <v>347.08</v>
      </c>
      <c r="J261" s="274">
        <f t="shared" si="60"/>
        <v>442.39</v>
      </c>
      <c r="K261" s="275">
        <f t="shared" si="61"/>
        <v>45017.61</v>
      </c>
    </row>
    <row r="262" spans="3:11" ht="51">
      <c r="C262" s="309" t="s">
        <v>1869</v>
      </c>
      <c r="D262" s="282"/>
      <c r="E262" s="282">
        <v>3312</v>
      </c>
      <c r="F262" s="279" t="s">
        <v>1670</v>
      </c>
      <c r="G262" s="280">
        <f>'PREV INUNDAÇÕES'!G52</f>
        <v>285.87</v>
      </c>
      <c r="H262" s="272" t="s">
        <v>282</v>
      </c>
      <c r="I262" s="281">
        <v>30.42</v>
      </c>
      <c r="J262" s="274">
        <f t="shared" si="60"/>
        <v>38.770000000000003</v>
      </c>
      <c r="K262" s="275">
        <f t="shared" si="61"/>
        <v>11083.18</v>
      </c>
    </row>
    <row r="263" spans="3:11" ht="76.5">
      <c r="C263" s="309" t="s">
        <v>1870</v>
      </c>
      <c r="D263" s="282"/>
      <c r="E263" s="282">
        <v>95877</v>
      </c>
      <c r="F263" s="279" t="s">
        <v>1111</v>
      </c>
      <c r="G263" s="280">
        <f>'PREV INUNDAÇÕES'!G53</f>
        <v>5318.4</v>
      </c>
      <c r="H263" s="272" t="s">
        <v>1112</v>
      </c>
      <c r="I263" s="281">
        <v>1.83</v>
      </c>
      <c r="J263" s="274">
        <f t="shared" si="60"/>
        <v>2.33</v>
      </c>
      <c r="K263" s="275">
        <f t="shared" si="61"/>
        <v>12391.87</v>
      </c>
    </row>
    <row r="264" spans="3:11" ht="76.5">
      <c r="C264" s="309" t="s">
        <v>1871</v>
      </c>
      <c r="D264" s="282"/>
      <c r="E264" s="282">
        <v>93590</v>
      </c>
      <c r="F264" s="279" t="s">
        <v>1025</v>
      </c>
      <c r="G264" s="280">
        <f>'PREV INUNDAÇÕES'!G54</f>
        <v>27832.959999999999</v>
      </c>
      <c r="H264" s="272" t="s">
        <v>1009</v>
      </c>
      <c r="I264" s="281">
        <v>0.96</v>
      </c>
      <c r="J264" s="274">
        <f t="shared" si="60"/>
        <v>1.22</v>
      </c>
      <c r="K264" s="275">
        <f t="shared" si="61"/>
        <v>33956.21</v>
      </c>
    </row>
    <row r="265" spans="3:11" ht="51">
      <c r="C265" s="309" t="s">
        <v>1872</v>
      </c>
      <c r="D265" s="282"/>
      <c r="E265" s="282" t="s">
        <v>1826</v>
      </c>
      <c r="F265" s="279" t="s">
        <v>1687</v>
      </c>
      <c r="G265" s="280">
        <f>'PREV INUNDAÇÕES'!G55</f>
        <v>56</v>
      </c>
      <c r="H265" s="272" t="s">
        <v>195</v>
      </c>
      <c r="I265" s="281">
        <v>598.61</v>
      </c>
      <c r="J265" s="274">
        <f t="shared" si="60"/>
        <v>762.99</v>
      </c>
      <c r="K265" s="275">
        <f t="shared" si="61"/>
        <v>42727.44</v>
      </c>
    </row>
    <row r="266" spans="3:11" ht="51">
      <c r="C266" s="309" t="s">
        <v>1873</v>
      </c>
      <c r="D266" s="282"/>
      <c r="E266" s="282" t="s">
        <v>1927</v>
      </c>
      <c r="F266" s="279" t="s">
        <v>1688</v>
      </c>
      <c r="G266" s="280">
        <f>'PREV INUNDAÇÕES'!G56</f>
        <v>356.16</v>
      </c>
      <c r="H266" s="272" t="s">
        <v>280</v>
      </c>
      <c r="I266" s="281">
        <v>244.15</v>
      </c>
      <c r="J266" s="274">
        <f t="shared" si="60"/>
        <v>311.19</v>
      </c>
      <c r="K266" s="275">
        <f t="shared" si="61"/>
        <v>110833.43</v>
      </c>
    </row>
    <row r="267" spans="3:11" ht="51">
      <c r="C267" s="1433" t="s">
        <v>1874</v>
      </c>
      <c r="D267" s="282"/>
      <c r="E267" s="282"/>
      <c r="F267" s="467" t="s">
        <v>1674</v>
      </c>
      <c r="G267" s="280"/>
      <c r="H267" s="272"/>
      <c r="I267" s="281"/>
      <c r="J267" s="274"/>
      <c r="K267" s="275"/>
    </row>
    <row r="268" spans="3:11" ht="51">
      <c r="C268" s="309" t="s">
        <v>1875</v>
      </c>
      <c r="D268" s="282"/>
      <c r="E268" s="282">
        <v>90106</v>
      </c>
      <c r="F268" s="279" t="s">
        <v>1676</v>
      </c>
      <c r="G268" s="280">
        <f>'PREV INUNDAÇÕES'!G58</f>
        <v>1128</v>
      </c>
      <c r="H268" s="272" t="s">
        <v>195</v>
      </c>
      <c r="I268" s="281">
        <v>7.45</v>
      </c>
      <c r="J268" s="274">
        <f t="shared" ref="J268:J275" si="62">I268*(1+$J$16)</f>
        <v>9.5</v>
      </c>
      <c r="K268" s="275">
        <f t="shared" ref="K268:K275" si="63">G268*J268</f>
        <v>10716</v>
      </c>
    </row>
    <row r="269" spans="3:11" ht="76.5">
      <c r="C269" s="309" t="s">
        <v>1876</v>
      </c>
      <c r="D269" s="282"/>
      <c r="E269" s="282">
        <v>4413984</v>
      </c>
      <c r="F269" s="279" t="s">
        <v>1678</v>
      </c>
      <c r="G269" s="280">
        <f>'PREV INUNDAÇÕES'!G59</f>
        <v>1128</v>
      </c>
      <c r="H269" s="272" t="s">
        <v>195</v>
      </c>
      <c r="I269" s="281">
        <v>3.95</v>
      </c>
      <c r="J269" s="274">
        <f t="shared" si="62"/>
        <v>5.03</v>
      </c>
      <c r="K269" s="275">
        <f t="shared" si="63"/>
        <v>5673.84</v>
      </c>
    </row>
    <row r="270" spans="3:11" ht="51">
      <c r="C270" s="309" t="s">
        <v>1877</v>
      </c>
      <c r="D270" s="282"/>
      <c r="E270" s="282">
        <v>90106</v>
      </c>
      <c r="F270" s="279" t="s">
        <v>1680</v>
      </c>
      <c r="G270" s="280">
        <f>'PREV INUNDAÇÕES'!G60</f>
        <v>1128</v>
      </c>
      <c r="H270" s="272" t="s">
        <v>195</v>
      </c>
      <c r="I270" s="281">
        <v>7.45</v>
      </c>
      <c r="J270" s="274">
        <f t="shared" si="62"/>
        <v>9.5</v>
      </c>
      <c r="K270" s="275">
        <f t="shared" si="63"/>
        <v>10716</v>
      </c>
    </row>
    <row r="271" spans="3:11" ht="51">
      <c r="C271" s="309" t="s">
        <v>1878</v>
      </c>
      <c r="D271" s="282"/>
      <c r="E271" s="282">
        <v>100973</v>
      </c>
      <c r="F271" s="279" t="s">
        <v>1006</v>
      </c>
      <c r="G271" s="280">
        <f>'PREV INUNDAÇÕES'!G61</f>
        <v>1128</v>
      </c>
      <c r="H271" s="272" t="s">
        <v>195</v>
      </c>
      <c r="I271" s="281">
        <v>9.1199999999999992</v>
      </c>
      <c r="J271" s="274">
        <f t="shared" si="62"/>
        <v>11.62</v>
      </c>
      <c r="K271" s="275">
        <f t="shared" si="63"/>
        <v>13107.36</v>
      </c>
    </row>
    <row r="272" spans="3:11" ht="76.5">
      <c r="C272" s="309" t="s">
        <v>1879</v>
      </c>
      <c r="D272" s="282"/>
      <c r="E272" s="282">
        <v>97914</v>
      </c>
      <c r="F272" s="279" t="s">
        <v>1008</v>
      </c>
      <c r="G272" s="280">
        <f>'PREV INUNDAÇÕES'!G62</f>
        <v>14370.72</v>
      </c>
      <c r="H272" s="272" t="s">
        <v>1009</v>
      </c>
      <c r="I272" s="281">
        <v>2.9</v>
      </c>
      <c r="J272" s="274">
        <f t="shared" si="62"/>
        <v>3.7</v>
      </c>
      <c r="K272" s="275">
        <f t="shared" si="63"/>
        <v>53171.66</v>
      </c>
    </row>
    <row r="273" spans="3:14" ht="39.950000000000003" customHeight="1">
      <c r="C273" s="309" t="s">
        <v>1880</v>
      </c>
      <c r="D273" s="282"/>
      <c r="E273" s="282">
        <v>4413985</v>
      </c>
      <c r="F273" s="279" t="s">
        <v>1684</v>
      </c>
      <c r="G273" s="280">
        <f>'PREV INUNDAÇÕES'!G63</f>
        <v>4098.3999999999996</v>
      </c>
      <c r="H273" s="272" t="s">
        <v>280</v>
      </c>
      <c r="I273" s="281">
        <v>22.57</v>
      </c>
      <c r="J273" s="274">
        <f t="shared" si="62"/>
        <v>28.77</v>
      </c>
      <c r="K273" s="275">
        <f t="shared" si="63"/>
        <v>117910.97</v>
      </c>
    </row>
    <row r="274" spans="3:14" ht="39.950000000000003" customHeight="1">
      <c r="C274" s="309" t="s">
        <v>1881</v>
      </c>
      <c r="D274" s="282"/>
      <c r="E274" s="282">
        <v>2003385</v>
      </c>
      <c r="F274" s="279" t="s">
        <v>1103</v>
      </c>
      <c r="G274" s="280">
        <f>'PREV INUNDAÇÕES'!G64</f>
        <v>50</v>
      </c>
      <c r="H274" s="272" t="s">
        <v>729</v>
      </c>
      <c r="I274" s="281">
        <v>73.540000000000006</v>
      </c>
      <c r="J274" s="274">
        <f t="shared" si="62"/>
        <v>93.73</v>
      </c>
      <c r="K274" s="275">
        <f t="shared" si="63"/>
        <v>4686.5</v>
      </c>
    </row>
    <row r="275" spans="3:14" ht="39.950000000000003" customHeight="1">
      <c r="C275" s="309" t="s">
        <v>1882</v>
      </c>
      <c r="D275" s="282"/>
      <c r="E275" s="282">
        <v>2003405</v>
      </c>
      <c r="F275" s="279" t="s">
        <v>1105</v>
      </c>
      <c r="G275" s="280">
        <f>'PREV INUNDAÇÕES'!G65</f>
        <v>175</v>
      </c>
      <c r="H275" s="272" t="s">
        <v>504</v>
      </c>
      <c r="I275" s="281">
        <v>255.85</v>
      </c>
      <c r="J275" s="274">
        <f t="shared" si="62"/>
        <v>326.11</v>
      </c>
      <c r="K275" s="275">
        <f t="shared" si="63"/>
        <v>57069.25</v>
      </c>
    </row>
    <row r="276" spans="3:14" ht="39.950000000000003" customHeight="1">
      <c r="C276" s="1433" t="s">
        <v>1883</v>
      </c>
      <c r="D276" s="282"/>
      <c r="E276" s="282"/>
      <c r="F276" s="467" t="s">
        <v>1132</v>
      </c>
      <c r="G276" s="280"/>
      <c r="H276" s="272"/>
      <c r="I276" s="281"/>
      <c r="J276" s="274"/>
      <c r="K276" s="275"/>
    </row>
    <row r="277" spans="3:14" ht="39.950000000000003" customHeight="1">
      <c r="C277" s="309" t="s">
        <v>1884</v>
      </c>
      <c r="D277" s="282"/>
      <c r="E277" s="282">
        <v>98504</v>
      </c>
      <c r="F277" s="279" t="s">
        <v>1133</v>
      </c>
      <c r="G277" s="280">
        <f>'PREV INUNDAÇÕES'!G129</f>
        <v>7532.8</v>
      </c>
      <c r="H277" s="272" t="s">
        <v>280</v>
      </c>
      <c r="I277" s="281">
        <v>13.91</v>
      </c>
      <c r="J277" s="274">
        <f t="shared" ref="J277" si="64">I277*(1+$J$16)</f>
        <v>17.73</v>
      </c>
      <c r="K277" s="275">
        <f t="shared" ref="K277" si="65">G277*J277</f>
        <v>133556.54</v>
      </c>
    </row>
    <row r="278" spans="3:14" ht="30" customHeight="1" thickBot="1">
      <c r="C278" s="1562" t="s">
        <v>1923</v>
      </c>
      <c r="D278" s="1563"/>
      <c r="E278" s="1563"/>
      <c r="F278" s="1563"/>
      <c r="G278" s="1563"/>
      <c r="H278" s="1563"/>
      <c r="I278" s="1563"/>
      <c r="J278" s="1564"/>
      <c r="K278" s="459">
        <f>SUM(K220:K277)</f>
        <v>3658892.13</v>
      </c>
    </row>
    <row r="279" spans="3:14" ht="41.25" customHeight="1" thickBot="1">
      <c r="C279" s="1559" t="s">
        <v>25</v>
      </c>
      <c r="D279" s="1560"/>
      <c r="E279" s="1560"/>
      <c r="F279" s="1560"/>
      <c r="G279" s="1560"/>
      <c r="H279" s="1560"/>
      <c r="I279" s="1560"/>
      <c r="J279" s="1561"/>
      <c r="K279" s="452">
        <f>SUM(K23,K41,K48,K120,K130,K141,K153,K161,K164,K207,K278,K218)</f>
        <v>59288144.700000003</v>
      </c>
      <c r="L279" s="264" t="s">
        <v>1924</v>
      </c>
    </row>
    <row r="280" spans="3:14">
      <c r="N280" s="310"/>
    </row>
    <row r="281" spans="3:14">
      <c r="K281" s="1354">
        <f>59288144.7-K279</f>
        <v>0</v>
      </c>
      <c r="N281" s="295"/>
    </row>
    <row r="282" spans="3:14">
      <c r="K282" s="295"/>
    </row>
    <row r="286" spans="3:14">
      <c r="K286" s="264">
        <f>K281/J163</f>
        <v>0</v>
      </c>
    </row>
    <row r="293" spans="7:9">
      <c r="G293" s="1558"/>
      <c r="H293" s="1558"/>
      <c r="I293" s="1558"/>
    </row>
  </sheetData>
  <sheetProtection formatCells="0" formatColumns="0" formatRows="0" insertColumns="0" insertRows="0" insertHyperlinks="0" deleteColumns="0" deleteRows="0" sort="0" autoFilter="0" pivotTables="0"/>
  <mergeCells count="60">
    <mergeCell ref="C11:K11"/>
    <mergeCell ref="F10:K10"/>
    <mergeCell ref="C5:J5"/>
    <mergeCell ref="C6:J6"/>
    <mergeCell ref="C7:J7"/>
    <mergeCell ref="D9:K9"/>
    <mergeCell ref="C10:D10"/>
    <mergeCell ref="C218:J218"/>
    <mergeCell ref="G49:K49"/>
    <mergeCell ref="E15:E16"/>
    <mergeCell ref="C13:K13"/>
    <mergeCell ref="H15:H16"/>
    <mergeCell ref="C23:J23"/>
    <mergeCell ref="G24:K24"/>
    <mergeCell ref="C41:J41"/>
    <mergeCell ref="G17:K17"/>
    <mergeCell ref="C15:C16"/>
    <mergeCell ref="D15:D16"/>
    <mergeCell ref="G293:I293"/>
    <mergeCell ref="C153:J153"/>
    <mergeCell ref="C130:J130"/>
    <mergeCell ref="G131:K131"/>
    <mergeCell ref="C141:J141"/>
    <mergeCell ref="G162:K162"/>
    <mergeCell ref="G142:K142"/>
    <mergeCell ref="C279:J279"/>
    <mergeCell ref="C164:J164"/>
    <mergeCell ref="G154:K154"/>
    <mergeCell ref="C161:J161"/>
    <mergeCell ref="G219:K219"/>
    <mergeCell ref="C278:J278"/>
    <mergeCell ref="G165:K165"/>
    <mergeCell ref="C207:J207"/>
    <mergeCell ref="G208:K208"/>
    <mergeCell ref="P26:P41"/>
    <mergeCell ref="G121:K121"/>
    <mergeCell ref="C120:J120"/>
    <mergeCell ref="M26:M41"/>
    <mergeCell ref="N26:N41"/>
    <mergeCell ref="O26:O41"/>
    <mergeCell ref="C48:J48"/>
    <mergeCell ref="G42:K42"/>
    <mergeCell ref="P17:P18"/>
    <mergeCell ref="M17:M18"/>
    <mergeCell ref="N17:N18"/>
    <mergeCell ref="M24:M25"/>
    <mergeCell ref="N24:N25"/>
    <mergeCell ref="O17:O18"/>
    <mergeCell ref="O22:O23"/>
    <mergeCell ref="P22:P23"/>
    <mergeCell ref="O24:O25"/>
    <mergeCell ref="P24:P25"/>
    <mergeCell ref="M22:M23"/>
    <mergeCell ref="N22:N23"/>
    <mergeCell ref="C12:K12"/>
    <mergeCell ref="F15:F16"/>
    <mergeCell ref="G15:G16"/>
    <mergeCell ref="I15:I16"/>
    <mergeCell ref="K15:K16"/>
    <mergeCell ref="C14:K14"/>
  </mergeCells>
  <phoneticPr fontId="40" type="noConversion"/>
  <printOptions horizontalCentered="1"/>
  <pageMargins left="0" right="0" top="0.43307086614173229" bottom="0" header="0" footer="0"/>
  <pageSetup paperSize="9" scale="35"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69CC-0A9C-40CC-ADF2-1AD4E75179C8}">
  <sheetPr>
    <tabColor theme="7" tint="0.39997558519241921"/>
  </sheetPr>
  <dimension ref="A1:M46"/>
  <sheetViews>
    <sheetView zoomScale="60" zoomScaleNormal="60" workbookViewId="0">
      <selection activeCell="H39" sqref="H39"/>
    </sheetView>
  </sheetViews>
  <sheetFormatPr defaultColWidth="9.28515625" defaultRowHeight="25.5"/>
  <cols>
    <col min="1" max="2" width="4.42578125" style="264" customWidth="1"/>
    <col min="3" max="4" width="16.7109375" style="264" customWidth="1"/>
    <col min="5" max="5" width="22.7109375" style="264" customWidth="1"/>
    <col min="6" max="6" width="100.7109375" style="264" customWidth="1"/>
    <col min="7" max="7" width="22.5703125" style="264" hidden="1" customWidth="1"/>
    <col min="8" max="8" width="41.140625" style="264" customWidth="1"/>
    <col min="9" max="9" width="29.28515625" style="264" customWidth="1"/>
    <col min="10" max="10" width="38.42578125" style="264" customWidth="1"/>
    <col min="11" max="11" width="14.7109375" style="264" bestFit="1" customWidth="1"/>
    <col min="12" max="12" width="15.7109375" style="264" customWidth="1"/>
    <col min="13" max="13" width="16.28515625" style="264" customWidth="1"/>
    <col min="14" max="16384" width="9.28515625" style="264"/>
  </cols>
  <sheetData>
    <row r="1" spans="1:13" ht="25.15" customHeight="1">
      <c r="A1" s="453"/>
      <c r="B1" s="454"/>
      <c r="C1" s="2001"/>
      <c r="D1" s="2002"/>
      <c r="E1" s="2002"/>
      <c r="F1" s="2002"/>
      <c r="G1" s="2002"/>
      <c r="H1" s="2003"/>
    </row>
    <row r="2" spans="1:13" ht="25.15" customHeight="1">
      <c r="A2" s="455"/>
      <c r="C2" s="2004"/>
      <c r="D2" s="2005"/>
      <c r="E2" s="2005"/>
      <c r="F2" s="2005"/>
      <c r="G2" s="2005"/>
      <c r="H2" s="2006"/>
    </row>
    <row r="3" spans="1:13" ht="25.15" customHeight="1">
      <c r="A3" s="455"/>
      <c r="C3" s="2004"/>
      <c r="D3" s="2005"/>
      <c r="E3" s="2005"/>
      <c r="F3" s="2005"/>
      <c r="G3" s="2005"/>
      <c r="H3" s="2006"/>
    </row>
    <row r="4" spans="1:13" ht="25.15" customHeight="1">
      <c r="A4" s="455"/>
      <c r="C4" s="2004"/>
      <c r="D4" s="2005"/>
      <c r="E4" s="2005"/>
      <c r="F4" s="2005"/>
      <c r="G4" s="2005"/>
      <c r="H4" s="2006"/>
    </row>
    <row r="5" spans="1:13" ht="28.15" customHeight="1">
      <c r="A5" s="455"/>
      <c r="C5" s="1580" t="s">
        <v>18</v>
      </c>
      <c r="D5" s="1578"/>
      <c r="E5" s="1578"/>
      <c r="F5" s="1578"/>
      <c r="G5" s="1578"/>
      <c r="H5" s="1579"/>
    </row>
    <row r="6" spans="1:13" ht="28.15" customHeight="1">
      <c r="A6" s="455"/>
      <c r="C6" s="1581" t="s">
        <v>187</v>
      </c>
      <c r="D6" s="1582"/>
      <c r="E6" s="1582"/>
      <c r="F6" s="1582"/>
      <c r="G6" s="1582"/>
      <c r="H6" s="2007"/>
    </row>
    <row r="7" spans="1:13" ht="28.15" customHeight="1">
      <c r="A7" s="455"/>
      <c r="C7" s="1581" t="s">
        <v>17</v>
      </c>
      <c r="D7" s="1582"/>
      <c r="E7" s="1582"/>
      <c r="F7" s="1582"/>
      <c r="G7" s="1582"/>
      <c r="H7" s="2007"/>
    </row>
    <row r="8" spans="1:13" ht="25.15" customHeight="1">
      <c r="A8" s="455"/>
      <c r="C8" s="405"/>
      <c r="D8" s="406"/>
      <c r="E8" s="406"/>
      <c r="F8" s="406"/>
      <c r="G8" s="406"/>
      <c r="H8" s="407"/>
    </row>
    <row r="9" spans="1:13" ht="54" customHeight="1">
      <c r="A9" s="455"/>
      <c r="C9" s="311" t="s">
        <v>567</v>
      </c>
      <c r="D9" s="1586" t="s">
        <v>938</v>
      </c>
      <c r="E9" s="1586"/>
      <c r="F9" s="1586"/>
      <c r="G9" s="1586"/>
      <c r="H9" s="2008"/>
    </row>
    <row r="10" spans="1:13" ht="30" customHeight="1">
      <c r="A10" s="455"/>
      <c r="C10" s="1585" t="s">
        <v>568</v>
      </c>
      <c r="D10" s="1586"/>
      <c r="E10" s="2000">
        <f>H25</f>
        <v>59288144.700000003</v>
      </c>
      <c r="F10" s="1576"/>
      <c r="G10" s="1576"/>
      <c r="H10" s="1577"/>
    </row>
    <row r="11" spans="1:13" ht="30" customHeight="1">
      <c r="A11" s="455"/>
      <c r="C11" s="1575" t="s">
        <v>755</v>
      </c>
      <c r="D11" s="1576"/>
      <c r="E11" s="1576"/>
      <c r="F11" s="1576"/>
      <c r="G11" s="1576"/>
      <c r="H11" s="1577"/>
    </row>
    <row r="12" spans="1:13" ht="25.15" customHeight="1" thickBot="1">
      <c r="A12" s="455"/>
      <c r="C12" s="1541"/>
      <c r="D12" s="1542"/>
      <c r="E12" s="1542"/>
      <c r="F12" s="1542"/>
      <c r="G12" s="1542"/>
      <c r="H12" s="1543"/>
    </row>
    <row r="13" spans="1:13" ht="36.75" customHeight="1" thickTop="1" thickBot="1">
      <c r="A13" s="455"/>
      <c r="C13" s="1997" t="s">
        <v>936</v>
      </c>
      <c r="D13" s="1998"/>
      <c r="E13" s="1998"/>
      <c r="F13" s="1998"/>
      <c r="G13" s="1998"/>
      <c r="H13" s="1999"/>
    </row>
    <row r="14" spans="1:13" ht="8.1" customHeight="1" thickTop="1">
      <c r="A14" s="455"/>
      <c r="C14" s="1548"/>
      <c r="D14" s="1549"/>
      <c r="E14" s="1549"/>
      <c r="F14" s="1549"/>
      <c r="G14" s="1549"/>
      <c r="H14" s="1550"/>
    </row>
    <row r="15" spans="1:13">
      <c r="A15" s="455"/>
      <c r="C15" s="1993" t="s">
        <v>6</v>
      </c>
      <c r="D15" s="1995" t="s">
        <v>183</v>
      </c>
      <c r="E15" s="1995" t="s">
        <v>508</v>
      </c>
      <c r="F15" s="1995" t="s">
        <v>5</v>
      </c>
      <c r="G15" s="1995" t="s">
        <v>937</v>
      </c>
      <c r="H15" s="1989" t="s">
        <v>369</v>
      </c>
      <c r="J15" s="265"/>
      <c r="K15" s="266"/>
      <c r="L15" s="266"/>
      <c r="M15" s="266"/>
    </row>
    <row r="16" spans="1:13">
      <c r="A16" s="455"/>
      <c r="C16" s="1994"/>
      <c r="D16" s="1996"/>
      <c r="E16" s="1996"/>
      <c r="F16" s="1996"/>
      <c r="G16" s="1996"/>
      <c r="H16" s="1989"/>
      <c r="J16" s="265"/>
      <c r="K16" s="266"/>
      <c r="L16" s="266"/>
      <c r="M16" s="266"/>
    </row>
    <row r="17" spans="1:13">
      <c r="A17" s="455"/>
      <c r="C17" s="298">
        <v>1</v>
      </c>
      <c r="D17" s="278"/>
      <c r="E17" s="278"/>
      <c r="F17" s="279" t="s">
        <v>939</v>
      </c>
      <c r="G17" s="810">
        <f>'MC-TER'!C60</f>
        <v>8050</v>
      </c>
      <c r="H17" s="275">
        <f>'PLANILHA GERAL'!K279</f>
        <v>59288144.700000003</v>
      </c>
      <c r="I17" s="295"/>
    </row>
    <row r="18" spans="1:13">
      <c r="A18" s="455"/>
      <c r="C18" s="298"/>
      <c r="D18" s="278"/>
      <c r="E18" s="269"/>
      <c r="F18" s="279"/>
      <c r="G18" s="810"/>
      <c r="H18" s="275"/>
    </row>
    <row r="19" spans="1:13">
      <c r="A19" s="455"/>
      <c r="C19" s="298"/>
      <c r="D19" s="278"/>
      <c r="E19" s="278"/>
      <c r="F19" s="279"/>
      <c r="G19" s="810"/>
      <c r="H19" s="275"/>
    </row>
    <row r="20" spans="1:13">
      <c r="A20" s="455"/>
      <c r="C20" s="298"/>
      <c r="D20" s="278"/>
      <c r="E20" s="278"/>
      <c r="F20" s="279"/>
      <c r="G20" s="810"/>
      <c r="H20" s="275"/>
    </row>
    <row r="21" spans="1:13">
      <c r="A21" s="455"/>
      <c r="C21" s="298"/>
      <c r="D21" s="278"/>
      <c r="E21" s="278"/>
      <c r="F21" s="279"/>
      <c r="G21" s="810"/>
      <c r="H21" s="275"/>
    </row>
    <row r="22" spans="1:13">
      <c r="A22" s="455"/>
      <c r="C22" s="298"/>
      <c r="D22" s="278"/>
      <c r="E22" s="269"/>
      <c r="F22" s="279"/>
      <c r="G22" s="810"/>
      <c r="H22" s="275"/>
    </row>
    <row r="23" spans="1:13">
      <c r="A23" s="455"/>
      <c r="C23" s="298"/>
      <c r="D23" s="278"/>
      <c r="E23" s="278"/>
      <c r="F23" s="279"/>
      <c r="G23" s="810"/>
      <c r="H23" s="275"/>
    </row>
    <row r="24" spans="1:13">
      <c r="A24" s="455"/>
      <c r="C24" s="298"/>
      <c r="D24" s="278"/>
      <c r="E24" s="278"/>
      <c r="F24" s="279"/>
      <c r="G24" s="810"/>
      <c r="H24" s="275"/>
    </row>
    <row r="25" spans="1:13" ht="41.25" customHeight="1" thickBot="1">
      <c r="C25" s="1990" t="s">
        <v>25</v>
      </c>
      <c r="D25" s="1991"/>
      <c r="E25" s="1991"/>
      <c r="F25" s="1992"/>
      <c r="G25" s="811">
        <f>SUM(G17:G24)</f>
        <v>8050</v>
      </c>
      <c r="H25" s="452">
        <f>SUM(H17:H24)</f>
        <v>59288144.700000003</v>
      </c>
    </row>
    <row r="26" spans="1:13">
      <c r="K26" s="310"/>
    </row>
    <row r="27" spans="1:13">
      <c r="A27" s="455"/>
      <c r="C27" s="1993" t="s">
        <v>6</v>
      </c>
      <c r="D27" s="1995" t="s">
        <v>183</v>
      </c>
      <c r="E27" s="1995" t="s">
        <v>508</v>
      </c>
      <c r="F27" s="1995" t="s">
        <v>5</v>
      </c>
      <c r="G27" s="1995" t="s">
        <v>937</v>
      </c>
      <c r="H27" s="1989" t="s">
        <v>369</v>
      </c>
      <c r="J27" s="265"/>
      <c r="K27" s="266"/>
      <c r="L27" s="266"/>
      <c r="M27" s="266"/>
    </row>
    <row r="28" spans="1:13">
      <c r="A28" s="455"/>
      <c r="C28" s="1994"/>
      <c r="D28" s="1996"/>
      <c r="E28" s="1996"/>
      <c r="F28" s="1996"/>
      <c r="G28" s="1996"/>
      <c r="H28" s="1989"/>
      <c r="J28" s="265"/>
      <c r="K28" s="266"/>
      <c r="L28" s="266"/>
      <c r="M28" s="266"/>
    </row>
    <row r="29" spans="1:13">
      <c r="A29" s="455"/>
      <c r="C29" s="298">
        <v>1</v>
      </c>
      <c r="D29" s="278"/>
      <c r="E29" s="278"/>
      <c r="F29" s="279" t="str">
        <f>'PLANILHA GERAL'!F17</f>
        <v>SERVIÇOS PRELIMINARES</v>
      </c>
      <c r="G29" s="810">
        <f>'MC-TER'!C72</f>
        <v>0</v>
      </c>
      <c r="H29" s="275">
        <f>'PLANILHA GERAL'!K23</f>
        <v>242499.65</v>
      </c>
      <c r="I29" s="264" t="s">
        <v>1810</v>
      </c>
      <c r="J29" s="1428">
        <f>SUM(H29:H30,H33:H37)/H41</f>
        <v>0.67110000000000003</v>
      </c>
    </row>
    <row r="30" spans="1:13">
      <c r="A30" s="455"/>
      <c r="C30" s="298"/>
      <c r="D30" s="278"/>
      <c r="E30" s="269"/>
      <c r="F30" s="279" t="str">
        <f>'PLANILHA GERAL'!F24</f>
        <v>DEMOLIÇÕES E RETIRADAS</v>
      </c>
      <c r="G30" s="810"/>
      <c r="H30" s="275">
        <f>'PLANILHA GERAL'!K41</f>
        <v>1070344.3700000001</v>
      </c>
      <c r="I30" s="264" t="s">
        <v>1810</v>
      </c>
      <c r="J30" s="1429"/>
    </row>
    <row r="31" spans="1:13">
      <c r="A31" s="455"/>
      <c r="C31" s="298"/>
      <c r="D31" s="278"/>
      <c r="E31" s="278"/>
      <c r="F31" s="279" t="str">
        <f>'PLANILHA GERAL'!F42</f>
        <v>SERVIÇOS DE DRENAGEM SUPERFICIAL</v>
      </c>
      <c r="G31" s="810"/>
      <c r="H31" s="275">
        <f>'PLANILHA GERAL'!K48</f>
        <v>3197224.85</v>
      </c>
      <c r="I31" s="264" t="s">
        <v>1811</v>
      </c>
      <c r="J31" s="1428">
        <f>(H31+H32)/H41</f>
        <v>0.25240000000000001</v>
      </c>
    </row>
    <row r="32" spans="1:13">
      <c r="A32" s="455"/>
      <c r="C32" s="298"/>
      <c r="D32" s="278"/>
      <c r="E32" s="278"/>
      <c r="F32" s="279" t="str">
        <f>'PLANILHA GERAL'!F49</f>
        <v>SERVIÇOS DE DRENAGEM PROFUNDA</v>
      </c>
      <c r="G32" s="810"/>
      <c r="H32" s="275">
        <f>'PLANILHA GERAL'!K120</f>
        <v>11769995.23</v>
      </c>
      <c r="I32" s="264" t="s">
        <v>1811</v>
      </c>
      <c r="J32" s="1429"/>
    </row>
    <row r="33" spans="1:10">
      <c r="A33" s="455"/>
      <c r="C33" s="298"/>
      <c r="D33" s="278"/>
      <c r="E33" s="278"/>
      <c r="F33" s="279" t="str">
        <f>'PLANILHA GERAL'!F121</f>
        <v>SERVIÇOS DE TERRAPLENAGEM</v>
      </c>
      <c r="G33" s="810"/>
      <c r="H33" s="275">
        <f>'PLANILHA GERAL'!K130</f>
        <v>8264543.7699999996</v>
      </c>
      <c r="I33" s="264" t="s">
        <v>1810</v>
      </c>
      <c r="J33" s="1429"/>
    </row>
    <row r="34" spans="1:10">
      <c r="A34" s="455"/>
      <c r="C34" s="298"/>
      <c r="D34" s="278"/>
      <c r="E34" s="269"/>
      <c r="F34" s="279" t="str">
        <f>'PLANILHA GERAL'!F131</f>
        <v>SERVIÇOS DE CAIXA PRIMÁRIA</v>
      </c>
      <c r="G34" s="810"/>
      <c r="H34" s="275">
        <f>'PLANILHA GERAL'!K141</f>
        <v>6537276.8399999999</v>
      </c>
      <c r="I34" s="264" t="s">
        <v>1810</v>
      </c>
      <c r="J34" s="1429"/>
    </row>
    <row r="35" spans="1:10">
      <c r="A35" s="455"/>
      <c r="C35" s="298"/>
      <c r="D35" s="278"/>
      <c r="E35" s="269"/>
      <c r="F35" s="279" t="str">
        <f>'PLANILHA GERAL'!F142</f>
        <v>SERVIÇOS DE REVESTIMENTO</v>
      </c>
      <c r="G35" s="810"/>
      <c r="H35" s="275">
        <f>'PLANILHA GERAL'!K153</f>
        <v>22218563.100000001</v>
      </c>
      <c r="I35" s="264" t="s">
        <v>1810</v>
      </c>
      <c r="J35" s="1429"/>
    </row>
    <row r="36" spans="1:10">
      <c r="A36" s="455"/>
      <c r="C36" s="298"/>
      <c r="D36" s="278"/>
      <c r="E36" s="269"/>
      <c r="F36" s="279" t="str">
        <f>'PLANILHA GERAL'!F162</f>
        <v>LIMPEZA FINAL</v>
      </c>
      <c r="G36" s="810"/>
      <c r="H36" s="275">
        <f>'PLANILHA GERAL'!K164</f>
        <v>142639.01</v>
      </c>
      <c r="I36" s="264" t="s">
        <v>1810</v>
      </c>
      <c r="J36" s="1429"/>
    </row>
    <row r="37" spans="1:10">
      <c r="A37" s="455"/>
      <c r="C37" s="298"/>
      <c r="D37" s="278"/>
      <c r="E37" s="269"/>
      <c r="F37" s="279" t="str">
        <f>'PLANILHA GERAL'!F165</f>
        <v>OBRAS DE ARTES ESPECIAIS</v>
      </c>
      <c r="G37" s="810"/>
      <c r="H37" s="275">
        <f>'PLANILHA GERAL'!K207</f>
        <v>1314164.94</v>
      </c>
      <c r="I37" s="264" t="s">
        <v>1810</v>
      </c>
      <c r="J37" s="1429"/>
    </row>
    <row r="38" spans="1:10">
      <c r="A38" s="455"/>
      <c r="C38" s="298"/>
      <c r="D38" s="278"/>
      <c r="E38" s="269"/>
      <c r="F38" s="279" t="str">
        <f>'PLANILHA GERAL'!F208</f>
        <v>SERVIÇOS COMPLEMENTARES</v>
      </c>
      <c r="G38" s="810"/>
      <c r="H38" s="275">
        <f>'PLANILHA GERAL'!K218</f>
        <v>872000.81</v>
      </c>
      <c r="I38" s="264" t="s">
        <v>1809</v>
      </c>
      <c r="J38" s="1428">
        <f>H38/H41</f>
        <v>1.47E-2</v>
      </c>
    </row>
    <row r="39" spans="1:10">
      <c r="A39" s="455"/>
      <c r="C39" s="298"/>
      <c r="D39" s="278"/>
      <c r="E39" s="278"/>
      <c r="F39" s="279" t="str">
        <f>'PLANILHA GERAL'!F219</f>
        <v>PREVENÇÃO DE INUNDAÇÕES</v>
      </c>
      <c r="G39" s="810"/>
      <c r="H39" s="275">
        <f>'PLANILHA GERAL'!K278</f>
        <v>3658892.13</v>
      </c>
      <c r="I39" s="264" t="s">
        <v>1808</v>
      </c>
      <c r="J39" s="1428">
        <f>H39/H41</f>
        <v>6.1699999999999998E-2</v>
      </c>
    </row>
    <row r="40" spans="1:10">
      <c r="A40" s="455"/>
      <c r="C40" s="298"/>
      <c r="D40" s="278"/>
      <c r="E40" s="278"/>
      <c r="F40" s="279"/>
      <c r="G40" s="810"/>
      <c r="H40" s="275"/>
    </row>
    <row r="41" spans="1:10" ht="41.25" customHeight="1" thickBot="1">
      <c r="C41" s="1990" t="s">
        <v>25</v>
      </c>
      <c r="D41" s="1991"/>
      <c r="E41" s="1991"/>
      <c r="F41" s="1992"/>
      <c r="G41" s="811">
        <f>SUM(G29:G40)</f>
        <v>0</v>
      </c>
      <c r="H41" s="452">
        <f>SUM(H29:H40)</f>
        <v>59288144.700000003</v>
      </c>
      <c r="J41" s="1429">
        <f>SUM(J29:J39)</f>
        <v>0.99990000000000001</v>
      </c>
    </row>
    <row r="45" spans="1:10">
      <c r="H45" s="264">
        <v>2200</v>
      </c>
    </row>
    <row r="46" spans="1:10">
      <c r="H46" s="264">
        <f>2200*0.03*2.4*5.5</f>
        <v>871.2</v>
      </c>
    </row>
  </sheetData>
  <mergeCells count="25">
    <mergeCell ref="C10:D10"/>
    <mergeCell ref="E10:H10"/>
    <mergeCell ref="C1:H4"/>
    <mergeCell ref="C5:H5"/>
    <mergeCell ref="C6:H6"/>
    <mergeCell ref="C7:H7"/>
    <mergeCell ref="D9:H9"/>
    <mergeCell ref="C25:F25"/>
    <mergeCell ref="H15:H16"/>
    <mergeCell ref="C11:H11"/>
    <mergeCell ref="C12:H12"/>
    <mergeCell ref="C13:H13"/>
    <mergeCell ref="C14:H14"/>
    <mergeCell ref="C15:C16"/>
    <mergeCell ref="D15:D16"/>
    <mergeCell ref="E15:E16"/>
    <mergeCell ref="F15:F16"/>
    <mergeCell ref="G15:G16"/>
    <mergeCell ref="H27:H28"/>
    <mergeCell ref="C41:F41"/>
    <mergeCell ref="C27:C28"/>
    <mergeCell ref="D27:D28"/>
    <mergeCell ref="E27:E28"/>
    <mergeCell ref="F27:F28"/>
    <mergeCell ref="G27:G28"/>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S63"/>
  <sheetViews>
    <sheetView view="pageBreakPreview" zoomScale="70" zoomScaleNormal="100" zoomScaleSheetLayoutView="70" workbookViewId="0">
      <selection activeCell="L16" sqref="L12:L16"/>
    </sheetView>
  </sheetViews>
  <sheetFormatPr defaultColWidth="9.28515625" defaultRowHeight="17.25"/>
  <cols>
    <col min="1" max="1" width="6.7109375" style="259" bestFit="1" customWidth="1"/>
    <col min="2" max="2" width="24" style="259" customWidth="1"/>
    <col min="3" max="3" width="25.7109375" style="259" hidden="1" customWidth="1"/>
    <col min="4" max="4" width="20.7109375" style="259" customWidth="1"/>
    <col min="5" max="7" width="15.7109375" style="259" customWidth="1"/>
    <col min="8" max="8" width="18.28515625" style="259" bestFit="1" customWidth="1"/>
    <col min="9" max="9" width="18.5703125" style="259" customWidth="1"/>
    <col min="10" max="10" width="16.28515625" style="259" customWidth="1"/>
    <col min="11" max="11" width="19.7109375" style="259" customWidth="1"/>
    <col min="12" max="12" width="21.28515625" style="259" bestFit="1" customWidth="1"/>
    <col min="13" max="13" width="20.28515625" style="259" bestFit="1" customWidth="1"/>
    <col min="14" max="15" width="20.28515625" style="259" customWidth="1"/>
    <col min="16" max="16" width="19.42578125" style="259" bestFit="1" customWidth="1"/>
    <col min="17" max="17" width="17.7109375" style="259" bestFit="1" customWidth="1"/>
    <col min="18" max="18" width="15.42578125" style="259" bestFit="1" customWidth="1"/>
    <col min="19" max="19" width="13.7109375" style="259" bestFit="1" customWidth="1"/>
    <col min="20" max="16384" width="9.28515625" style="259"/>
  </cols>
  <sheetData>
    <row r="1" spans="1:19" ht="15" customHeight="1">
      <c r="A1" s="2021"/>
      <c r="B1" s="2022"/>
      <c r="C1" s="2022"/>
      <c r="D1" s="2022"/>
      <c r="E1" s="2022"/>
      <c r="F1" s="2022"/>
      <c r="G1" s="2022"/>
      <c r="H1" s="2022"/>
      <c r="I1" s="2022"/>
      <c r="J1" s="2022"/>
      <c r="K1" s="2022"/>
      <c r="L1" s="2022"/>
      <c r="M1" s="2022"/>
      <c r="N1" s="2022"/>
      <c r="O1" s="2022"/>
      <c r="P1" s="2023"/>
    </row>
    <row r="2" spans="1:19" ht="15" customHeight="1">
      <c r="A2" s="2015"/>
      <c r="B2" s="2016"/>
      <c r="C2" s="2016"/>
      <c r="D2" s="2016"/>
      <c r="E2" s="2016"/>
      <c r="F2" s="2016"/>
      <c r="G2" s="2016"/>
      <c r="H2" s="2016"/>
      <c r="I2" s="2016"/>
      <c r="J2" s="2016"/>
      <c r="K2" s="2016"/>
      <c r="L2" s="2016"/>
      <c r="M2" s="2016"/>
      <c r="N2" s="2016"/>
      <c r="O2" s="2016"/>
      <c r="P2" s="2017"/>
    </row>
    <row r="3" spans="1:19" ht="15" customHeight="1">
      <c r="A3" s="2018"/>
      <c r="B3" s="2019"/>
      <c r="C3" s="2019"/>
      <c r="D3" s="2019"/>
      <c r="E3" s="2019"/>
      <c r="F3" s="2019"/>
      <c r="G3" s="2019"/>
      <c r="H3" s="2019"/>
      <c r="I3" s="2019"/>
      <c r="J3" s="2019"/>
      <c r="K3" s="2019"/>
      <c r="L3" s="2019"/>
      <c r="M3" s="2019"/>
      <c r="N3" s="2019"/>
      <c r="O3" s="2019"/>
      <c r="P3" s="2020"/>
    </row>
    <row r="4" spans="1:19" ht="15" customHeight="1">
      <c r="A4" s="2018"/>
      <c r="B4" s="2019"/>
      <c r="C4" s="2019"/>
      <c r="D4" s="2019"/>
      <c r="E4" s="2019"/>
      <c r="F4" s="2019"/>
      <c r="G4" s="2019"/>
      <c r="H4" s="2019"/>
      <c r="I4" s="2019"/>
      <c r="J4" s="2019"/>
      <c r="K4" s="2019"/>
      <c r="L4" s="2019"/>
      <c r="M4" s="2019"/>
      <c r="N4" s="2019"/>
      <c r="O4" s="2019"/>
      <c r="P4" s="2020"/>
    </row>
    <row r="5" spans="1:19" ht="24.75" customHeight="1">
      <c r="A5" s="2015" t="s">
        <v>18</v>
      </c>
      <c r="B5" s="2016"/>
      <c r="C5" s="2016"/>
      <c r="D5" s="2016"/>
      <c r="E5" s="2016"/>
      <c r="F5" s="2016"/>
      <c r="G5" s="2016"/>
      <c r="H5" s="2016"/>
      <c r="I5" s="2016"/>
      <c r="J5" s="2016"/>
      <c r="K5" s="2016"/>
      <c r="L5" s="2016"/>
      <c r="M5" s="2016"/>
      <c r="N5" s="2016"/>
      <c r="O5" s="2016"/>
      <c r="P5" s="2017"/>
    </row>
    <row r="6" spans="1:19" ht="15" customHeight="1">
      <c r="A6" s="2018" t="s">
        <v>187</v>
      </c>
      <c r="B6" s="2019"/>
      <c r="C6" s="2019"/>
      <c r="D6" s="2019"/>
      <c r="E6" s="2019"/>
      <c r="F6" s="2019"/>
      <c r="G6" s="2019"/>
      <c r="H6" s="2019"/>
      <c r="I6" s="2019"/>
      <c r="J6" s="2019"/>
      <c r="K6" s="2019"/>
      <c r="L6" s="2019"/>
      <c r="M6" s="2019"/>
      <c r="N6" s="2019"/>
      <c r="O6" s="2019"/>
      <c r="P6" s="2020"/>
    </row>
    <row r="7" spans="1:19" ht="15" customHeight="1">
      <c r="A7" s="2018" t="s">
        <v>17</v>
      </c>
      <c r="B7" s="2019"/>
      <c r="C7" s="2019"/>
      <c r="D7" s="2019"/>
      <c r="E7" s="2019"/>
      <c r="F7" s="2019"/>
      <c r="G7" s="2019"/>
      <c r="H7" s="2019"/>
      <c r="I7" s="2019"/>
      <c r="J7" s="2019"/>
      <c r="K7" s="2019"/>
      <c r="L7" s="2019"/>
      <c r="M7" s="2019"/>
      <c r="N7" s="2019"/>
      <c r="O7" s="2019"/>
      <c r="P7" s="2020"/>
    </row>
    <row r="8" spans="1:19" ht="15" customHeight="1" thickBot="1">
      <c r="A8" s="260"/>
      <c r="B8" s="261"/>
      <c r="C8" s="261"/>
      <c r="D8" s="261"/>
      <c r="E8" s="261"/>
      <c r="F8" s="261"/>
      <c r="G8" s="261"/>
      <c r="H8" s="261"/>
      <c r="I8" s="261"/>
      <c r="J8" s="261"/>
      <c r="K8" s="261"/>
      <c r="L8" s="261"/>
      <c r="M8" s="261"/>
      <c r="N8" s="261"/>
      <c r="O8" s="261"/>
      <c r="P8" s="262"/>
    </row>
    <row r="9" spans="1:19" ht="39" customHeight="1" thickTop="1" thickBot="1">
      <c r="A9" s="2024" t="s">
        <v>494</v>
      </c>
      <c r="B9" s="2025"/>
      <c r="C9" s="2025"/>
      <c r="D9" s="2025"/>
      <c r="E9" s="2025"/>
      <c r="F9" s="2025"/>
      <c r="G9" s="2025"/>
      <c r="H9" s="2025"/>
      <c r="I9" s="2025"/>
      <c r="J9" s="2025"/>
      <c r="K9" s="2025"/>
      <c r="L9" s="2025"/>
      <c r="M9" s="2025"/>
      <c r="N9" s="2025"/>
      <c r="O9" s="2025"/>
      <c r="P9" s="2026"/>
    </row>
    <row r="10" spans="1:19" ht="35.25" customHeight="1" thickTop="1">
      <c r="A10" s="2009" t="str">
        <f>'PLANILHA GERAL'!D9</f>
        <v>OBRAS DE PREVENÇÕES DE ALAGAMENTOS E CHEIAS, INFRAESTRUTURA URBANA E CONSTRUÇÕES DIVERSAS NO MUNICÍPIO DE ANANINDEUA/PA</v>
      </c>
      <c r="B10" s="2010"/>
      <c r="C10" s="2010"/>
      <c r="D10" s="2010"/>
      <c r="E10" s="2010"/>
      <c r="F10" s="2010"/>
      <c r="G10" s="2010"/>
      <c r="H10" s="2010"/>
      <c r="I10" s="2010"/>
      <c r="J10" s="2010"/>
      <c r="K10" s="2010"/>
      <c r="L10" s="2010"/>
      <c r="M10" s="2010"/>
      <c r="N10" s="2010"/>
      <c r="O10" s="2010"/>
      <c r="P10" s="2011"/>
    </row>
    <row r="11" spans="1:19" ht="51.75">
      <c r="A11" s="502" t="s">
        <v>6</v>
      </c>
      <c r="B11" s="503" t="s">
        <v>660</v>
      </c>
      <c r="C11" s="503" t="s">
        <v>309</v>
      </c>
      <c r="D11" s="503" t="s">
        <v>310</v>
      </c>
      <c r="E11" s="503" t="s">
        <v>329</v>
      </c>
      <c r="F11" s="503" t="s">
        <v>307</v>
      </c>
      <c r="G11" s="503" t="s">
        <v>661</v>
      </c>
      <c r="H11" s="503" t="s">
        <v>1</v>
      </c>
      <c r="I11" s="503" t="s">
        <v>485</v>
      </c>
      <c r="J11" s="503" t="s">
        <v>488</v>
      </c>
      <c r="K11" s="503" t="s">
        <v>487</v>
      </c>
      <c r="L11" s="503" t="s">
        <v>623</v>
      </c>
      <c r="M11" s="503" t="s">
        <v>486</v>
      </c>
      <c r="N11" s="503" t="s">
        <v>10</v>
      </c>
      <c r="O11" s="503" t="s">
        <v>935</v>
      </c>
      <c r="P11" s="504" t="s">
        <v>22</v>
      </c>
    </row>
    <row r="12" spans="1:19" s="254" customFormat="1" ht="40.15" customHeight="1">
      <c r="A12" s="248">
        <v>1</v>
      </c>
      <c r="B12" s="609" t="s">
        <v>1561</v>
      </c>
      <c r="C12" s="258"/>
      <c r="D12" s="249"/>
      <c r="E12" s="250">
        <f>46*20+8.068</f>
        <v>928.07</v>
      </c>
      <c r="F12" s="251">
        <v>13</v>
      </c>
      <c r="G12" s="251">
        <f>E12*F12</f>
        <v>12064.91</v>
      </c>
      <c r="H12" s="252">
        <f>IF(E12=0,,('PLANILHA GERAL'!$K$23/COUNTIF($E$12:$E$49,"&gt;0")))</f>
        <v>121249.83</v>
      </c>
      <c r="I12" s="252">
        <f>'MC-DRE'!AC17+'MC-DRE'!AC63+'MC-DRE'!AC214+'MC-DRE'!AF214+'MC-DRE'!AI214+'MC-DRE'!AC308+'MC-DRE'!AF308+'MC-DRE'!AI308+'MC-DRE'!AL308</f>
        <v>0</v>
      </c>
      <c r="J12" s="252">
        <f>'MC-PAV'!AE18</f>
        <v>0</v>
      </c>
      <c r="K12" s="252">
        <f>'MC-PAV'!AK18</f>
        <v>494930.83</v>
      </c>
      <c r="L12" s="252">
        <f>'MC-TER'!AS20</f>
        <v>14561093.41</v>
      </c>
      <c r="M12" s="252">
        <f>'MC-PAV'!AV18</f>
        <v>15048601.33</v>
      </c>
      <c r="N12" s="252">
        <f>IF(E12=0,,('PLANILHA GERAL'!$K$164/COUNTIF($E$12:$E$49,"&gt;0")))</f>
        <v>71319.509999999995</v>
      </c>
      <c r="O12" s="252"/>
      <c r="P12" s="253">
        <f>H12+I12+J12+K12+L12+M12+N12</f>
        <v>30297194.91</v>
      </c>
      <c r="R12" s="255">
        <v>151</v>
      </c>
      <c r="S12" s="256"/>
    </row>
    <row r="13" spans="1:19" s="254" customFormat="1" ht="40.15" customHeight="1">
      <c r="A13" s="257">
        <v>2</v>
      </c>
      <c r="B13" s="609"/>
      <c r="C13" s="258"/>
      <c r="D13" s="249"/>
      <c r="E13" s="250">
        <v>1035</v>
      </c>
      <c r="F13" s="251">
        <v>8</v>
      </c>
      <c r="G13" s="251">
        <f>E13*F13</f>
        <v>8280</v>
      </c>
      <c r="H13" s="252">
        <f>IF(E13=0,,('PLANILHA GERAL'!$K$23/COUNTIF($E$12:$E$49,"&gt;0")))</f>
        <v>121249.83</v>
      </c>
      <c r="I13" s="252">
        <f>'MC-DRE'!AC18+'MC-DRE'!AC64+'MC-DRE'!AC107+'MC-DRE'!AC135+'MC-DRE'!AC163+'MC-DRE'!AC191+'MC-DRE'!AC260+'MC-DRE'!AF260+'MC-DRE'!AI260+'MC-DRE'!AC309+'MC-DRE'!AF309+'MC-DRE'!AI309+'MC-DRE'!AL309</f>
        <v>8010788.0899999999</v>
      </c>
      <c r="J13" s="252">
        <f>'MC-PAV'!AE19</f>
        <v>1462858.88</v>
      </c>
      <c r="K13" s="252">
        <f>'MC-PAV'!AK19</f>
        <v>1810996.91</v>
      </c>
      <c r="L13" s="252">
        <f>'MC-TER'!AS21</f>
        <v>0</v>
      </c>
      <c r="M13" s="252">
        <f>'MC-PAV'!AV19</f>
        <v>7009994.9500000002</v>
      </c>
      <c r="N13" s="252">
        <f>IF(E13=0,,('PLANILHA GERAL'!$K$164/COUNTIF($E$12:$E$49,"&gt;0")))</f>
        <v>71319.509999999995</v>
      </c>
      <c r="O13" s="252">
        <f>'PLANILHA GERAL'!K207</f>
        <v>1314164.94</v>
      </c>
      <c r="P13" s="253">
        <f>H13+I13+J13+K13+L13+M13+N13+O13</f>
        <v>19801373.109999999</v>
      </c>
      <c r="R13" s="254">
        <v>117</v>
      </c>
    </row>
    <row r="14" spans="1:19" s="254" customFormat="1" ht="40.15" customHeight="1">
      <c r="A14" s="248"/>
      <c r="B14" s="609"/>
      <c r="C14" s="258"/>
      <c r="D14" s="249"/>
      <c r="E14" s="250"/>
      <c r="F14" s="251"/>
      <c r="G14" s="251">
        <f t="shared" ref="G14:G30" si="0">E14*F14</f>
        <v>0</v>
      </c>
      <c r="H14" s="252">
        <f>IF(E14=0,,('PLANILHA GERAL'!$K$23/COUNTIF($E$12:$E$49,"&gt;0")))</f>
        <v>0</v>
      </c>
      <c r="I14" s="252">
        <f>'MC-DRE'!AC19+'MC-DRE'!AC65+'MC-DRE'!AC261+'MC-DRE'!AF261+'MC-DRE'!AI261+'MC-DRE'!AC310+'MC-DRE'!AF310+'MC-DRE'!AI310+'MC-DRE'!AL310</f>
        <v>270882.96000000002</v>
      </c>
      <c r="J14" s="252">
        <f>'MC-PAV'!AE20</f>
        <v>0</v>
      </c>
      <c r="K14" s="252">
        <f>'MC-PAV'!AK20</f>
        <v>0</v>
      </c>
      <c r="L14" s="252">
        <f>'MC-TER'!AS22</f>
        <v>0</v>
      </c>
      <c r="M14" s="252">
        <f>'MC-PAV'!AV20</f>
        <v>0</v>
      </c>
      <c r="N14" s="252">
        <f>IF(E14=0,,('PLANILHA GERAL'!$K$164/COUNTIF($E$12:$E$49,"&gt;0")))</f>
        <v>0</v>
      </c>
      <c r="O14" s="252"/>
      <c r="P14" s="253">
        <f t="shared" ref="P14:P30" si="1">H14+I14+J14+K14+L14+M14+N14</f>
        <v>270882.96000000002</v>
      </c>
      <c r="R14" s="254">
        <v>147</v>
      </c>
    </row>
    <row r="15" spans="1:19" s="254" customFormat="1" ht="40.15" customHeight="1">
      <c r="A15" s="257"/>
      <c r="B15" s="609"/>
      <c r="C15" s="258"/>
      <c r="D15" s="249"/>
      <c r="E15" s="250"/>
      <c r="F15" s="251"/>
      <c r="G15" s="251">
        <f t="shared" si="0"/>
        <v>0</v>
      </c>
      <c r="H15" s="252">
        <f>IF(E15=0,,('PLANILHA GERAL'!$K$23/COUNTIF($E$12:$E$49,"&gt;0")))</f>
        <v>0</v>
      </c>
      <c r="I15" s="252">
        <f>'MC-DRE'!AC20+'MC-DRE'!AC66+'MC-DRE'!AC262+'MC-DRE'!AF262+'MC-DRE'!AI262+'MC-DRE'!AC311+'MC-DRE'!AF311+'MC-DRE'!AI311+'MC-DRE'!AL311</f>
        <v>131072.4</v>
      </c>
      <c r="J15" s="252">
        <f>'MC-PAV'!AE21</f>
        <v>0</v>
      </c>
      <c r="K15" s="252">
        <f>'MC-PAV'!AK21</f>
        <v>0</v>
      </c>
      <c r="L15" s="252">
        <f>'MC-TER'!AS23</f>
        <v>0</v>
      </c>
      <c r="M15" s="252">
        <f>'MC-PAV'!AV21</f>
        <v>0</v>
      </c>
      <c r="N15" s="252">
        <f>IF(E15=0,,('PLANILHA GERAL'!$K$164/COUNTIF($E$12:$E$49,"&gt;0")))</f>
        <v>0</v>
      </c>
      <c r="O15" s="252"/>
      <c r="P15" s="253">
        <f t="shared" si="1"/>
        <v>131072.4</v>
      </c>
      <c r="R15" s="254">
        <v>169</v>
      </c>
    </row>
    <row r="16" spans="1:19" s="254" customFormat="1" ht="40.15" customHeight="1">
      <c r="A16" s="248"/>
      <c r="B16" s="609"/>
      <c r="C16" s="258"/>
      <c r="D16" s="249"/>
      <c r="E16" s="250"/>
      <c r="F16" s="251"/>
      <c r="G16" s="251">
        <f t="shared" si="0"/>
        <v>0</v>
      </c>
      <c r="H16" s="252">
        <f>IF(E16=0,,('PLANILHA GERAL'!$K$23/COUNTIF($E$12:$E$49,"&gt;0")))</f>
        <v>0</v>
      </c>
      <c r="I16" s="252">
        <f>'MC-DRE'!AC21+'MC-DRE'!AC67+'MC-DRE'!AC263+'MC-DRE'!AF263+'MC-DRE'!AI263+'MC-DRE'!AC312+'MC-DRE'!AF312+'MC-DRE'!AI312+'MC-DRE'!AL312</f>
        <v>0</v>
      </c>
      <c r="J16" s="252">
        <f>'MC-PAV'!AE22</f>
        <v>0</v>
      </c>
      <c r="K16" s="252">
        <f>'MC-PAV'!AK22</f>
        <v>0</v>
      </c>
      <c r="L16" s="252">
        <f>'MC-TER'!AS24</f>
        <v>0</v>
      </c>
      <c r="M16" s="252">
        <f>'MC-PAV'!AV22</f>
        <v>0</v>
      </c>
      <c r="N16" s="252">
        <f>IF(E16=0,,('PLANILHA GERAL'!$K$164/COUNTIF($E$12:$E$49,"&gt;0")))</f>
        <v>0</v>
      </c>
      <c r="O16" s="252"/>
      <c r="P16" s="253">
        <f t="shared" si="1"/>
        <v>0</v>
      </c>
      <c r="R16" s="254">
        <v>139</v>
      </c>
    </row>
    <row r="17" spans="1:18" s="254" customFormat="1" ht="40.15" customHeight="1">
      <c r="A17" s="257"/>
      <c r="B17" s="609"/>
      <c r="C17" s="258"/>
      <c r="D17" s="249"/>
      <c r="E17" s="250"/>
      <c r="F17" s="251"/>
      <c r="G17" s="251">
        <f t="shared" si="0"/>
        <v>0</v>
      </c>
      <c r="H17" s="252">
        <f>IF(E17=0,,('PLANILHA GERAL'!$K$23/COUNTIF($E$12:$E$49,"&gt;0")))</f>
        <v>0</v>
      </c>
      <c r="I17" s="252">
        <f>'MC-DRE'!AC22+'MC-DRE'!AC68+'MC-DRE'!AC264+'MC-DRE'!AF264+'MC-DRE'!AI264+'MC-DRE'!AC313+'MC-DRE'!AF313+'MC-DRE'!AI313+'MC-DRE'!AL313</f>
        <v>0</v>
      </c>
      <c r="J17" s="252">
        <f>'MC-PAV'!AE23</f>
        <v>0</v>
      </c>
      <c r="K17" s="252">
        <f>'MC-PAV'!AK23</f>
        <v>0</v>
      </c>
      <c r="L17" s="252">
        <f>'MC-TER'!AS25</f>
        <v>0</v>
      </c>
      <c r="M17" s="252">
        <f>'MC-PAV'!AV23</f>
        <v>0</v>
      </c>
      <c r="N17" s="252">
        <f>IF(E17=0,,('PLANILHA GERAL'!$K$164/COUNTIF($E$12:$E$49,"&gt;0")))</f>
        <v>0</v>
      </c>
      <c r="O17" s="252"/>
      <c r="P17" s="253">
        <f t="shared" si="1"/>
        <v>0</v>
      </c>
      <c r="R17" s="254">
        <v>519</v>
      </c>
    </row>
    <row r="18" spans="1:18" s="254" customFormat="1" ht="40.15" customHeight="1">
      <c r="A18" s="248"/>
      <c r="B18" s="609"/>
      <c r="C18" s="258"/>
      <c r="D18" s="249"/>
      <c r="E18" s="250"/>
      <c r="F18" s="251"/>
      <c r="G18" s="251">
        <f t="shared" si="0"/>
        <v>0</v>
      </c>
      <c r="H18" s="252">
        <f>IF(E18=0,,('PLANILHA GERAL'!$K$23/COUNTIF($E$12:$E$49,"&gt;0")))</f>
        <v>0</v>
      </c>
      <c r="I18" s="252">
        <f>'MC-DRE'!AC23+'MC-DRE'!AC69+'MC-DRE'!AC265+'MC-DRE'!AF265+'MC-DRE'!AI265+'MC-DRE'!AC314+'MC-DRE'!AF314+'MC-DRE'!AI314+'MC-DRE'!AL314</f>
        <v>0</v>
      </c>
      <c r="J18" s="252">
        <f>'MC-PAV'!AE24</f>
        <v>0</v>
      </c>
      <c r="K18" s="252">
        <f>'MC-PAV'!AK24</f>
        <v>0</v>
      </c>
      <c r="L18" s="252">
        <f>'MC-TER'!AS26</f>
        <v>0</v>
      </c>
      <c r="M18" s="252">
        <f>'MC-PAV'!AV24</f>
        <v>0</v>
      </c>
      <c r="N18" s="252">
        <f>IF(E18=0,,('PLANILHA GERAL'!$K$164/COUNTIF($E$12:$E$49,"&gt;0")))</f>
        <v>0</v>
      </c>
      <c r="O18" s="252"/>
      <c r="P18" s="253">
        <f t="shared" si="1"/>
        <v>0</v>
      </c>
      <c r="R18" s="254">
        <v>1640</v>
      </c>
    </row>
    <row r="19" spans="1:18" s="254" customFormat="1" ht="40.15" customHeight="1">
      <c r="A19" s="248"/>
      <c r="B19" s="613"/>
      <c r="C19" s="258"/>
      <c r="D19" s="249"/>
      <c r="E19" s="250"/>
      <c r="F19" s="251"/>
      <c r="G19" s="251">
        <f>E19*F19</f>
        <v>0</v>
      </c>
      <c r="H19" s="252">
        <f>IF(E19=0,,('PLANILHA GERAL'!$K$23/COUNTIF($E$12:$E$49,"&gt;0")))</f>
        <v>0</v>
      </c>
      <c r="I19" s="252">
        <f>'MC-DRE'!AC24+'MC-DRE'!AC70+'MC-DRE'!AC266+'MC-DRE'!AF266+'MC-DRE'!AI266+'MC-DRE'!AC315+'MC-DRE'!AF315+'MC-DRE'!AI315+'MC-DRE'!AL315</f>
        <v>0</v>
      </c>
      <c r="J19" s="252">
        <f>'MC-PAV'!AE25</f>
        <v>0</v>
      </c>
      <c r="K19" s="252">
        <f>'MC-PAV'!AK25</f>
        <v>0</v>
      </c>
      <c r="L19" s="252">
        <f>'MC-TER'!AS27</f>
        <v>0</v>
      </c>
      <c r="M19" s="252">
        <f>'MC-PAV'!AV25</f>
        <v>0</v>
      </c>
      <c r="N19" s="252">
        <f>IF(E19=0,,('PLANILHA GERAL'!$K$164/COUNTIF($E$12:$E$49,"&gt;0")))</f>
        <v>0</v>
      </c>
      <c r="O19" s="252"/>
      <c r="P19" s="253">
        <f>H19+I19+J19+K19+L19+M19+N19</f>
        <v>0</v>
      </c>
      <c r="R19" s="254">
        <v>470</v>
      </c>
    </row>
    <row r="20" spans="1:18" s="254" customFormat="1" ht="40.15" customHeight="1">
      <c r="A20" s="257"/>
      <c r="B20" s="609"/>
      <c r="C20" s="258"/>
      <c r="D20" s="249"/>
      <c r="E20" s="250"/>
      <c r="F20" s="251"/>
      <c r="G20" s="251">
        <f t="shared" si="0"/>
        <v>0</v>
      </c>
      <c r="H20" s="252">
        <f>IF(E20=0,,('PLANILHA GERAL'!$K$23/COUNTIF($E$12:$E$49,"&gt;0")))</f>
        <v>0</v>
      </c>
      <c r="I20" s="252">
        <f>'MC-DRE'!AC25+'MC-DRE'!AC71+'MC-DRE'!AC267+'MC-DRE'!AF267+'MC-DRE'!AI267+'MC-DRE'!AC316+'MC-DRE'!AF316+'MC-DRE'!AI316+'MC-DRE'!AL316</f>
        <v>0</v>
      </c>
      <c r="J20" s="252">
        <f>'MC-PAV'!AE25</f>
        <v>0</v>
      </c>
      <c r="K20" s="252">
        <f>'MC-PAV'!AK26</f>
        <v>0</v>
      </c>
      <c r="L20" s="252">
        <f>'MC-TER'!AS28</f>
        <v>0</v>
      </c>
      <c r="M20" s="252">
        <f>'MC-PAV'!AV26</f>
        <v>0</v>
      </c>
      <c r="N20" s="252">
        <f>IF(E20=0,,('PLANILHA GERAL'!$K$164/COUNTIF($E$12:$E$49,"&gt;0")))</f>
        <v>0</v>
      </c>
      <c r="O20" s="252"/>
      <c r="P20" s="253">
        <f t="shared" si="1"/>
        <v>0</v>
      </c>
      <c r="R20" s="254">
        <v>228</v>
      </c>
    </row>
    <row r="21" spans="1:18" s="254" customFormat="1" ht="40.15" customHeight="1">
      <c r="A21" s="248"/>
      <c r="B21" s="609"/>
      <c r="C21" s="258"/>
      <c r="D21" s="249"/>
      <c r="E21" s="250"/>
      <c r="F21" s="251"/>
      <c r="G21" s="251">
        <f t="shared" si="0"/>
        <v>0</v>
      </c>
      <c r="H21" s="252">
        <f>IF(E21=0,,('PLANILHA GERAL'!$K$23/COUNTIF($E$12:$E$49,"&gt;0")))</f>
        <v>0</v>
      </c>
      <c r="I21" s="252">
        <f>'MC-DRE'!AC26+'MC-DRE'!AC72+'MC-DRE'!AC268+'MC-DRE'!AF268+'MC-DRE'!AI268+'MC-DRE'!AC317+'MC-DRE'!AF317+'MC-DRE'!AI317+'MC-DRE'!AL317</f>
        <v>0</v>
      </c>
      <c r="J21" s="252">
        <f>'MC-PAV'!AE26</f>
        <v>0</v>
      </c>
      <c r="K21" s="252">
        <f>'MC-PAV'!AK27</f>
        <v>0</v>
      </c>
      <c r="L21" s="252">
        <f>'MC-TER'!AS29</f>
        <v>0</v>
      </c>
      <c r="M21" s="252">
        <f>'MC-PAV'!AV27</f>
        <v>0</v>
      </c>
      <c r="N21" s="252">
        <f>IF(E21=0,,('PLANILHA GERAL'!$K$164/COUNTIF($E$12:$E$49,"&gt;0")))</f>
        <v>0</v>
      </c>
      <c r="O21" s="252"/>
      <c r="P21" s="253">
        <f t="shared" si="1"/>
        <v>0</v>
      </c>
      <c r="R21" s="254">
        <v>81</v>
      </c>
    </row>
    <row r="22" spans="1:18" s="254" customFormat="1" ht="40.15" customHeight="1">
      <c r="A22" s="257"/>
      <c r="B22" s="609"/>
      <c r="C22" s="258"/>
      <c r="D22" s="249"/>
      <c r="E22" s="250"/>
      <c r="F22" s="251"/>
      <c r="G22" s="251">
        <f t="shared" si="0"/>
        <v>0</v>
      </c>
      <c r="H22" s="252">
        <f>IF(E22=0,,('PLANILHA GERAL'!$K$23/COUNTIF($E$12:$E$49,"&gt;0")))</f>
        <v>0</v>
      </c>
      <c r="I22" s="252">
        <f>'MC-DRE'!AC27+'MC-DRE'!AC73+'MC-DRE'!AC269+'MC-DRE'!AF269+'MC-DRE'!AI269+'MC-DRE'!AC318+'MC-DRE'!AF318+'MC-DRE'!AI318+'MC-DRE'!AL318</f>
        <v>0</v>
      </c>
      <c r="J22" s="252">
        <f>'MC-PAV'!AE27</f>
        <v>0</v>
      </c>
      <c r="K22" s="252">
        <f>'MC-PAV'!AK28</f>
        <v>0</v>
      </c>
      <c r="L22" s="252">
        <f>'MC-TER'!AS30</f>
        <v>0</v>
      </c>
      <c r="M22" s="252">
        <f>'MC-PAV'!AV28</f>
        <v>0</v>
      </c>
      <c r="N22" s="252">
        <f>IF(E22=0,,('PLANILHA GERAL'!$K$164/COUNTIF($E$12:$E$49,"&gt;0")))</f>
        <v>0</v>
      </c>
      <c r="O22" s="252"/>
      <c r="P22" s="253">
        <f t="shared" si="1"/>
        <v>0</v>
      </c>
      <c r="R22" s="254">
        <v>121</v>
      </c>
    </row>
    <row r="23" spans="1:18" s="254" customFormat="1" ht="40.15" customHeight="1">
      <c r="A23" s="248"/>
      <c r="B23" s="609"/>
      <c r="C23" s="258"/>
      <c r="D23" s="249"/>
      <c r="E23" s="250"/>
      <c r="F23" s="251"/>
      <c r="G23" s="251">
        <f t="shared" si="0"/>
        <v>0</v>
      </c>
      <c r="H23" s="252">
        <f>IF(E23=0,,('PLANILHA GERAL'!$K$23/COUNTIF($E$12:$E$49,"&gt;0")))</f>
        <v>0</v>
      </c>
      <c r="I23" s="252">
        <f>'MC-DRE'!AC28+'MC-DRE'!AC74+'MC-DRE'!AC270+'MC-DRE'!AF270+'MC-DRE'!AI270+'MC-DRE'!AC319+'MC-DRE'!AF319+'MC-DRE'!AI319+'MC-DRE'!AL319</f>
        <v>0</v>
      </c>
      <c r="J23" s="252">
        <f>'MC-PAV'!AE28</f>
        <v>0</v>
      </c>
      <c r="K23" s="252">
        <f>'MC-PAV'!AK29</f>
        <v>0</v>
      </c>
      <c r="L23" s="252">
        <f>'MC-TER'!AS31</f>
        <v>0</v>
      </c>
      <c r="M23" s="252">
        <f>'MC-PAV'!AV29</f>
        <v>0</v>
      </c>
      <c r="N23" s="252">
        <f>IF(E23=0,,('PLANILHA GERAL'!$K$164/COUNTIF($E$12:$E$49,"&gt;0")))</f>
        <v>0</v>
      </c>
      <c r="O23" s="252"/>
      <c r="P23" s="253">
        <f t="shared" si="1"/>
        <v>0</v>
      </c>
      <c r="R23" s="254">
        <v>900</v>
      </c>
    </row>
    <row r="24" spans="1:18" s="254" customFormat="1" ht="40.15" customHeight="1">
      <c r="A24" s="257"/>
      <c r="B24" s="610"/>
      <c r="C24" s="258"/>
      <c r="D24" s="249"/>
      <c r="E24" s="250"/>
      <c r="F24" s="251"/>
      <c r="G24" s="251">
        <f t="shared" si="0"/>
        <v>0</v>
      </c>
      <c r="H24" s="252">
        <f>IF(E24=0,,('PLANILHA GERAL'!$K$23/COUNTIF($E$12:$E$49,"&gt;0")))</f>
        <v>0</v>
      </c>
      <c r="I24" s="252">
        <f>'MC-DRE'!AC29+'MC-DRE'!AC75+'MC-DRE'!AC271+'MC-DRE'!AF271+'MC-DRE'!AI271+'MC-DRE'!AC320+'MC-DRE'!AF320+'MC-DRE'!AI320+'MC-DRE'!AL320</f>
        <v>0</v>
      </c>
      <c r="J24" s="252">
        <f>'MC-PAV'!AE29</f>
        <v>0</v>
      </c>
      <c r="K24" s="252">
        <f>'MC-PAV'!AK30</f>
        <v>0</v>
      </c>
      <c r="L24" s="252">
        <f>'MC-TER'!AS32</f>
        <v>0</v>
      </c>
      <c r="M24" s="252">
        <f>'MC-PAV'!AV30</f>
        <v>0</v>
      </c>
      <c r="N24" s="252">
        <f>IF(E24=0,,('PLANILHA GERAL'!$K$164/COUNTIF($E$12:$E$49,"&gt;0")))</f>
        <v>0</v>
      </c>
      <c r="O24" s="252"/>
      <c r="P24" s="253">
        <f t="shared" si="1"/>
        <v>0</v>
      </c>
      <c r="R24" s="254">
        <v>606</v>
      </c>
    </row>
    <row r="25" spans="1:18" s="254" customFormat="1" ht="40.15" customHeight="1">
      <c r="A25" s="257"/>
      <c r="B25" s="614"/>
      <c r="C25" s="258"/>
      <c r="D25" s="249"/>
      <c r="E25" s="250"/>
      <c r="F25" s="251"/>
      <c r="G25" s="251">
        <f>E25*F25</f>
        <v>0</v>
      </c>
      <c r="H25" s="252">
        <f>IF(E25=0,,('PLANILHA GERAL'!$K$23/COUNTIF($E$12:$E$49,"&gt;0")))</f>
        <v>0</v>
      </c>
      <c r="I25" s="252">
        <f>'MC-DRE'!AC30+'MC-DRE'!AC76+'MC-DRE'!AC272+'MC-DRE'!AF272+'MC-DRE'!AI272+'MC-DRE'!AC321+'MC-DRE'!AF321+'MC-DRE'!AI321+'MC-DRE'!AL321</f>
        <v>0</v>
      </c>
      <c r="J25" s="252">
        <f>'MC-PAV'!AE30</f>
        <v>0</v>
      </c>
      <c r="K25" s="252">
        <f>'MC-PAV'!AK31</f>
        <v>0</v>
      </c>
      <c r="L25" s="252">
        <f>'MC-TER'!AS33</f>
        <v>0</v>
      </c>
      <c r="M25" s="252">
        <f>'MC-PAV'!AV31</f>
        <v>0</v>
      </c>
      <c r="N25" s="252">
        <f>IF(E25=0,,('PLANILHA GERAL'!$K$164/COUNTIF($E$12:$E$49,"&gt;0")))</f>
        <v>0</v>
      </c>
      <c r="O25" s="252"/>
      <c r="P25" s="253">
        <f>H25+I25+J25+K25+L25+M25+N25</f>
        <v>0</v>
      </c>
      <c r="R25" s="254">
        <v>50</v>
      </c>
    </row>
    <row r="26" spans="1:18" s="254" customFormat="1" ht="40.15" customHeight="1">
      <c r="A26" s="248"/>
      <c r="B26" s="610"/>
      <c r="C26" s="258"/>
      <c r="D26" s="249"/>
      <c r="E26" s="250"/>
      <c r="F26" s="251"/>
      <c r="G26" s="251">
        <f t="shared" si="0"/>
        <v>0</v>
      </c>
      <c r="H26" s="252">
        <f>IF(E26=0,,('PLANILHA GERAL'!$K$23/COUNTIF($E$12:$E$49,"&gt;0")))</f>
        <v>0</v>
      </c>
      <c r="I26" s="252">
        <f>'MC-DRE'!AC31+'MC-DRE'!AC77+'MC-DRE'!AC273+'MC-DRE'!AF273+'MC-DRE'!AI273+'MC-DRE'!AC322+'MC-DRE'!AF322+'MC-DRE'!AI322+'MC-DRE'!AL322</f>
        <v>0</v>
      </c>
      <c r="J26" s="252">
        <f>'MC-PAV'!AE30</f>
        <v>0</v>
      </c>
      <c r="K26" s="252">
        <f>'MC-PAV'!AK32</f>
        <v>0</v>
      </c>
      <c r="L26" s="252">
        <f>'MC-TER'!AS34</f>
        <v>0</v>
      </c>
      <c r="M26" s="252">
        <f>'MC-PAV'!AV32</f>
        <v>0</v>
      </c>
      <c r="N26" s="252">
        <f>IF(E26=0,,('PLANILHA GERAL'!$K$164/COUNTIF($E$12:$E$49,"&gt;0")))</f>
        <v>0</v>
      </c>
      <c r="O26" s="252"/>
      <c r="P26" s="253">
        <f t="shared" si="1"/>
        <v>0</v>
      </c>
      <c r="R26" s="254">
        <v>165</v>
      </c>
    </row>
    <row r="27" spans="1:18" s="254" customFormat="1" ht="40.15" customHeight="1">
      <c r="A27" s="257"/>
      <c r="B27" s="610"/>
      <c r="C27" s="258"/>
      <c r="D27" s="249"/>
      <c r="E27" s="250"/>
      <c r="F27" s="251"/>
      <c r="G27" s="251">
        <f t="shared" si="0"/>
        <v>0</v>
      </c>
      <c r="H27" s="252">
        <f>IF(E27=0,,('PLANILHA GERAL'!$K$23/COUNTIF($E$12:$E$49,"&gt;0")))</f>
        <v>0</v>
      </c>
      <c r="I27" s="252">
        <f>'MC-DRE'!AC32+'MC-DRE'!AC78+'MC-DRE'!AC274+'MC-DRE'!AF274+'MC-DRE'!AI274+'MC-DRE'!AC323+'MC-DRE'!AF323+'MC-DRE'!AI323+'MC-DRE'!AL323</f>
        <v>0</v>
      </c>
      <c r="J27" s="252">
        <f>'MC-PAV'!AE31</f>
        <v>0</v>
      </c>
      <c r="K27" s="252">
        <f>'MC-PAV'!AK33</f>
        <v>0</v>
      </c>
      <c r="L27" s="252">
        <f>'MC-TER'!AS35</f>
        <v>0</v>
      </c>
      <c r="M27" s="252">
        <f>'MC-PAV'!AV33</f>
        <v>0</v>
      </c>
      <c r="N27" s="252">
        <f>IF(E27=0,,('PLANILHA GERAL'!$K$164/COUNTIF($E$12:$E$49,"&gt;0")))</f>
        <v>0</v>
      </c>
      <c r="O27" s="252"/>
      <c r="P27" s="253">
        <f t="shared" si="1"/>
        <v>0</v>
      </c>
      <c r="R27" s="254">
        <v>58</v>
      </c>
    </row>
    <row r="28" spans="1:18" s="254" customFormat="1" ht="40.15" customHeight="1">
      <c r="A28" s="248"/>
      <c r="B28" s="610"/>
      <c r="C28" s="258"/>
      <c r="D28" s="249"/>
      <c r="E28" s="250"/>
      <c r="F28" s="251"/>
      <c r="G28" s="251">
        <f t="shared" si="0"/>
        <v>0</v>
      </c>
      <c r="H28" s="252">
        <f>IF(E28=0,,('PLANILHA GERAL'!$K$23/COUNTIF($E$12:$E$49,"&gt;0")))</f>
        <v>0</v>
      </c>
      <c r="I28" s="252">
        <f>'MC-DRE'!AC33+'MC-DRE'!AC79+'MC-DRE'!AC275+'MC-DRE'!AF275+'MC-DRE'!AI275+'MC-DRE'!AC324+'MC-DRE'!AF324+'MC-DRE'!AI324+'MC-DRE'!AL324</f>
        <v>0</v>
      </c>
      <c r="J28" s="252">
        <f>'MC-PAV'!AE32</f>
        <v>0</v>
      </c>
      <c r="K28" s="252">
        <f>'MC-PAV'!AK34</f>
        <v>0</v>
      </c>
      <c r="L28" s="252">
        <f>'MC-TER'!AS36</f>
        <v>0</v>
      </c>
      <c r="M28" s="252">
        <f>'MC-PAV'!AV34</f>
        <v>0</v>
      </c>
      <c r="N28" s="252">
        <f>IF(E28=0,,('PLANILHA GERAL'!$K$164/COUNTIF($E$12:$E$49,"&gt;0")))</f>
        <v>0</v>
      </c>
      <c r="O28" s="252"/>
      <c r="P28" s="253">
        <f t="shared" si="1"/>
        <v>0</v>
      </c>
      <c r="R28" s="254">
        <v>425.5</v>
      </c>
    </row>
    <row r="29" spans="1:18" s="254" customFormat="1" ht="40.15" customHeight="1">
      <c r="A29" s="257"/>
      <c r="B29" s="610"/>
      <c r="C29" s="258"/>
      <c r="D29" s="249"/>
      <c r="E29" s="250"/>
      <c r="F29" s="251"/>
      <c r="G29" s="251">
        <f t="shared" si="0"/>
        <v>0</v>
      </c>
      <c r="H29" s="252">
        <f>IF(E29=0,,('PLANILHA GERAL'!$K$23/COUNTIF($E$12:$E$49,"&gt;0")))</f>
        <v>0</v>
      </c>
      <c r="I29" s="252">
        <f>'MC-DRE'!AC34+'MC-DRE'!AC80+'MC-DRE'!AC276+'MC-DRE'!AF276+'MC-DRE'!AI276+'MC-DRE'!AC325+'MC-DRE'!AF325+'MC-DRE'!AI325+'MC-DRE'!AL325</f>
        <v>0</v>
      </c>
      <c r="J29" s="252">
        <f>'MC-PAV'!AE33</f>
        <v>0</v>
      </c>
      <c r="K29" s="252">
        <f>'MC-PAV'!AK35</f>
        <v>0</v>
      </c>
      <c r="L29" s="252">
        <f>'MC-TER'!AS37</f>
        <v>0</v>
      </c>
      <c r="M29" s="252">
        <f>'MC-PAV'!AV35</f>
        <v>0</v>
      </c>
      <c r="N29" s="252">
        <f>IF(E29=0,,('PLANILHA GERAL'!$K$164/COUNTIF($E$12:$E$49,"&gt;0")))</f>
        <v>0</v>
      </c>
      <c r="O29" s="252"/>
      <c r="P29" s="253">
        <f t="shared" si="1"/>
        <v>0</v>
      </c>
      <c r="R29" s="254">
        <v>199</v>
      </c>
    </row>
    <row r="30" spans="1:18" s="254" customFormat="1" ht="40.15" customHeight="1">
      <c r="A30" s="248"/>
      <c r="B30" s="610"/>
      <c r="C30" s="258"/>
      <c r="D30" s="249"/>
      <c r="E30" s="250"/>
      <c r="F30" s="251"/>
      <c r="G30" s="251">
        <f t="shared" si="0"/>
        <v>0</v>
      </c>
      <c r="H30" s="252">
        <f>IF(E30=0,,('PLANILHA GERAL'!$K$23/COUNTIF($E$12:$E$49,"&gt;0")))</f>
        <v>0</v>
      </c>
      <c r="I30" s="252">
        <f>'MC-DRE'!AC35+'MC-DRE'!AC81+'MC-DRE'!AC277+'MC-DRE'!AF277+'MC-DRE'!AI277+'MC-DRE'!AC326+'MC-DRE'!AF326+'MC-DRE'!AI326+'MC-DRE'!AL326</f>
        <v>0</v>
      </c>
      <c r="J30" s="252">
        <f>'MC-PAV'!AE34</f>
        <v>0</v>
      </c>
      <c r="K30" s="252">
        <f>'MC-PAV'!AK36</f>
        <v>0</v>
      </c>
      <c r="L30" s="252">
        <f>'MC-TER'!AS38</f>
        <v>0</v>
      </c>
      <c r="M30" s="252">
        <f>'MC-PAV'!AV36</f>
        <v>0</v>
      </c>
      <c r="N30" s="252">
        <f>IF(E30=0,,('PLANILHA GERAL'!$K$164/COUNTIF($E$12:$E$49,"&gt;0")))</f>
        <v>0</v>
      </c>
      <c r="O30" s="252"/>
      <c r="P30" s="253">
        <f t="shared" si="1"/>
        <v>0</v>
      </c>
      <c r="R30" s="254">
        <v>109</v>
      </c>
    </row>
    <row r="31" spans="1:18" s="254" customFormat="1" ht="40.15" customHeight="1">
      <c r="A31" s="257"/>
      <c r="B31" s="610"/>
      <c r="C31" s="258"/>
      <c r="D31" s="249"/>
      <c r="E31" s="250"/>
      <c r="F31" s="251"/>
      <c r="G31" s="251">
        <f>E31*F31</f>
        <v>0</v>
      </c>
      <c r="H31" s="252">
        <f>IF(E31=0,,('PLANILHA GERAL'!$K$23/COUNTIF($E$12:$E$49,"&gt;0")))</f>
        <v>0</v>
      </c>
      <c r="I31" s="252">
        <f>'MC-DRE'!AC36+'MC-DRE'!AC82+'MC-DRE'!AC278+'MC-DRE'!AF278+'MC-DRE'!AI278+'MC-DRE'!AC327+'MC-DRE'!AF327+'MC-DRE'!AI327+'MC-DRE'!AL327</f>
        <v>0</v>
      </c>
      <c r="J31" s="252">
        <f>'MC-PAV'!AE34</f>
        <v>0</v>
      </c>
      <c r="K31" s="252">
        <f>'MC-PAV'!AK37</f>
        <v>0</v>
      </c>
      <c r="L31" s="252">
        <f>'MC-TER'!AS39</f>
        <v>0</v>
      </c>
      <c r="M31" s="252">
        <f>'MC-PAV'!AV37</f>
        <v>0</v>
      </c>
      <c r="N31" s="252">
        <f>IF(E31=0,,('PLANILHA GERAL'!$K$164/COUNTIF($E$12:$E$49,"&gt;0")))</f>
        <v>0</v>
      </c>
      <c r="O31" s="252"/>
      <c r="P31" s="253">
        <f>H31+I31+J31+K31+L31+M31+N31</f>
        <v>0</v>
      </c>
      <c r="R31" s="254">
        <v>725</v>
      </c>
    </row>
    <row r="32" spans="1:18" s="254" customFormat="1" ht="40.15" customHeight="1">
      <c r="A32" s="257"/>
      <c r="B32" s="614"/>
      <c r="C32" s="258"/>
      <c r="D32" s="249"/>
      <c r="E32" s="250"/>
      <c r="F32" s="251"/>
      <c r="G32" s="251">
        <f t="shared" ref="G32:G46" si="2">E32*F32</f>
        <v>0</v>
      </c>
      <c r="H32" s="252">
        <f>IF(E32=0,,('PLANILHA GERAL'!$K$23/COUNTIF($E$12:$E$49,"&gt;0")))</f>
        <v>0</v>
      </c>
      <c r="I32" s="252">
        <f>'MC-DRE'!AC37+'MC-DRE'!AC83+'MC-DRE'!AC279+'MC-DRE'!AF279+'MC-DRE'!AI279+'MC-DRE'!AC328+'MC-DRE'!AF328+'MC-DRE'!AI328+'MC-DRE'!AL328</f>
        <v>0</v>
      </c>
      <c r="J32" s="252">
        <f>'MC-PAV'!AE35</f>
        <v>0</v>
      </c>
      <c r="K32" s="252">
        <f>'MC-PAV'!AK38</f>
        <v>0</v>
      </c>
      <c r="L32" s="252">
        <f>'MC-TER'!AS40</f>
        <v>0</v>
      </c>
      <c r="M32" s="252">
        <f>'MC-PAV'!AV38</f>
        <v>0</v>
      </c>
      <c r="N32" s="252">
        <f>IF(E32=0,,('PLANILHA GERAL'!$K$164/COUNTIF($E$12:$E$49,"&gt;0")))</f>
        <v>0</v>
      </c>
      <c r="O32" s="252"/>
      <c r="P32" s="253">
        <f t="shared" ref="P32:P41" si="3">H32+I32+J32+K32+L32+M32+N32</f>
        <v>0</v>
      </c>
      <c r="R32" s="254">
        <v>159</v>
      </c>
    </row>
    <row r="33" spans="1:18" s="254" customFormat="1" ht="40.15" customHeight="1">
      <c r="A33" s="257"/>
      <c r="B33" s="614"/>
      <c r="C33" s="258"/>
      <c r="D33" s="249"/>
      <c r="E33" s="250"/>
      <c r="F33" s="251"/>
      <c r="G33" s="251">
        <f t="shared" si="2"/>
        <v>0</v>
      </c>
      <c r="H33" s="252">
        <f>IF(E33=0,,('PLANILHA GERAL'!$K$23/COUNTIF($E$12:$E$49,"&gt;0")))</f>
        <v>0</v>
      </c>
      <c r="I33" s="252">
        <f>'MC-DRE'!AC38+'MC-DRE'!AC84+'MC-DRE'!AC280+'MC-DRE'!AF280+'MC-DRE'!AI280+'MC-DRE'!AC329+'MC-DRE'!AF329+'MC-DRE'!AI329+'MC-DRE'!AL329</f>
        <v>0</v>
      </c>
      <c r="J33" s="252">
        <f>'MC-PAV'!AE36</f>
        <v>0</v>
      </c>
      <c r="K33" s="252">
        <f>'MC-PAV'!AK39+0.02</f>
        <v>0.02</v>
      </c>
      <c r="L33" s="252">
        <f>'MC-TER'!AS41</f>
        <v>0</v>
      </c>
      <c r="M33" s="252">
        <f>'MC-PAV'!AV39</f>
        <v>0</v>
      </c>
      <c r="N33" s="252">
        <f>IF(E33=0,,('PLANILHA GERAL'!$K$164/COUNTIF($E$12:$E$49,"&gt;0")))</f>
        <v>0</v>
      </c>
      <c r="O33" s="252"/>
      <c r="P33" s="253">
        <f t="shared" si="3"/>
        <v>0.02</v>
      </c>
      <c r="R33" s="254">
        <v>50</v>
      </c>
    </row>
    <row r="34" spans="1:18" s="254" customFormat="1" ht="40.15" customHeight="1">
      <c r="A34" s="257"/>
      <c r="B34" s="614"/>
      <c r="C34" s="258"/>
      <c r="D34" s="249"/>
      <c r="E34" s="250"/>
      <c r="F34" s="251"/>
      <c r="G34" s="251">
        <f t="shared" si="2"/>
        <v>0</v>
      </c>
      <c r="H34" s="252">
        <f>IF(E34=0,,('PLANILHA GERAL'!$K$23/COUNTIF($E$12:$E$49,"&gt;0")))</f>
        <v>0</v>
      </c>
      <c r="I34" s="252">
        <f>'MC-DRE'!AC39+'MC-DRE'!AC85+'MC-DRE'!AC281+'MC-DRE'!AF281+'MC-DRE'!AI281+'MC-DRE'!AC330+'MC-DRE'!AF330+'MC-DRE'!AI330+'MC-DRE'!AL330</f>
        <v>0</v>
      </c>
      <c r="J34" s="252">
        <f>'MC-PAV'!AE51</f>
        <v>0</v>
      </c>
      <c r="K34" s="252">
        <f>'MC-PAV'!AK40</f>
        <v>0</v>
      </c>
      <c r="L34" s="252">
        <f>'MC-TER'!AS42</f>
        <v>0</v>
      </c>
      <c r="M34" s="252">
        <f>'MC-PAV'!AV40</f>
        <v>0</v>
      </c>
      <c r="N34" s="252">
        <f>IF(E34=0,,('PLANILHA GERAL'!$K$164/COUNTIF($E$12:$E$49,"&gt;0")))</f>
        <v>0</v>
      </c>
      <c r="O34" s="252"/>
      <c r="P34" s="253">
        <f t="shared" si="3"/>
        <v>0</v>
      </c>
      <c r="R34" s="254">
        <v>356</v>
      </c>
    </row>
    <row r="35" spans="1:18" s="254" customFormat="1" ht="40.15" customHeight="1">
      <c r="A35" s="257"/>
      <c r="B35" s="614"/>
      <c r="C35" s="258"/>
      <c r="D35" s="249"/>
      <c r="E35" s="250"/>
      <c r="F35" s="251"/>
      <c r="G35" s="251">
        <f t="shared" si="2"/>
        <v>0</v>
      </c>
      <c r="H35" s="252">
        <f>IF(E35=0,,('PLANILHA GERAL'!$K$23/COUNTIF($E$12:$E$49,"&gt;0")))</f>
        <v>0</v>
      </c>
      <c r="I35" s="252">
        <f>'MC-DRE'!AC40+'MC-DRE'!AC86+'MC-DRE'!AC282+'MC-DRE'!AF282+'MC-DRE'!AI282+'MC-DRE'!AC331+'MC-DRE'!AF331+'MC-DRE'!AI331+'MC-DRE'!AL331</f>
        <v>0</v>
      </c>
      <c r="J35" s="252">
        <f>'MC-PAV'!AE52</f>
        <v>0</v>
      </c>
      <c r="K35" s="252">
        <f>'MC-PAV'!AK41</f>
        <v>0</v>
      </c>
      <c r="L35" s="252">
        <f>'MC-TER'!AS43</f>
        <v>0</v>
      </c>
      <c r="M35" s="252">
        <f>'MC-PAV'!AV41</f>
        <v>0</v>
      </c>
      <c r="N35" s="252">
        <f>IF(E35=0,,('PLANILHA GERAL'!$K$164/COUNTIF($E$12:$E$49,"&gt;0")))</f>
        <v>0</v>
      </c>
      <c r="O35" s="252"/>
      <c r="P35" s="253">
        <f t="shared" si="3"/>
        <v>0</v>
      </c>
      <c r="R35" s="254">
        <v>366</v>
      </c>
    </row>
    <row r="36" spans="1:18" s="254" customFormat="1" ht="40.15" customHeight="1">
      <c r="A36" s="257"/>
      <c r="B36" s="614"/>
      <c r="C36" s="258"/>
      <c r="D36" s="249"/>
      <c r="E36" s="250"/>
      <c r="F36" s="251"/>
      <c r="G36" s="251">
        <f t="shared" si="2"/>
        <v>0</v>
      </c>
      <c r="H36" s="252">
        <f>IF(E36=0,,('PLANILHA GERAL'!$K$23/COUNTIF($E$12:$E$49,"&gt;0")))</f>
        <v>0</v>
      </c>
      <c r="I36" s="252">
        <f>'MC-DRE'!AC41+'MC-DRE'!AC87+'MC-DRE'!AC283+'MC-DRE'!AF283+'MC-DRE'!AI283+'MC-DRE'!AC332+'MC-DRE'!AF332+'MC-DRE'!AI332+'MC-DRE'!AL332</f>
        <v>0</v>
      </c>
      <c r="J36" s="252">
        <f>'MC-PAV'!AE56</f>
        <v>0</v>
      </c>
      <c r="K36" s="252">
        <f>'MC-PAV'!AK42</f>
        <v>0</v>
      </c>
      <c r="L36" s="252">
        <f>'MC-TER'!AS44</f>
        <v>0</v>
      </c>
      <c r="M36" s="252">
        <f>'MC-PAV'!AV42</f>
        <v>0</v>
      </c>
      <c r="N36" s="252">
        <f>IF(E36=0,,('PLANILHA GERAL'!$K$164/COUNTIF($E$12:$E$49,"&gt;0")))</f>
        <v>0</v>
      </c>
      <c r="O36" s="252"/>
      <c r="P36" s="253">
        <f t="shared" si="3"/>
        <v>0</v>
      </c>
      <c r="R36" s="254">
        <v>167</v>
      </c>
    </row>
    <row r="37" spans="1:18" s="254" customFormat="1" ht="40.15" customHeight="1">
      <c r="A37" s="257"/>
      <c r="B37" s="614"/>
      <c r="C37" s="258"/>
      <c r="D37" s="249"/>
      <c r="E37" s="250"/>
      <c r="F37" s="251"/>
      <c r="G37" s="251">
        <f t="shared" si="2"/>
        <v>0</v>
      </c>
      <c r="H37" s="252">
        <f>IF(E37=0,,('PLANILHA GERAL'!$K$23/COUNTIF($E$12:$E$49,"&gt;0")))</f>
        <v>0</v>
      </c>
      <c r="I37" s="252">
        <f>'MC-DRE'!AC42+'MC-DRE'!AC88+'MC-DRE'!AC284+'MC-DRE'!AF284+'MC-DRE'!AI284+'MC-DRE'!AC333+'MC-DRE'!AF333+'MC-DRE'!AI333+'MC-DRE'!AL333</f>
        <v>0</v>
      </c>
      <c r="J37" s="252">
        <f>'MC-PAV'!AE57</f>
        <v>0</v>
      </c>
      <c r="K37" s="252">
        <f>'MC-PAV'!AK43</f>
        <v>0</v>
      </c>
      <c r="L37" s="252">
        <f>'MC-TER'!AS45</f>
        <v>0</v>
      </c>
      <c r="M37" s="252">
        <f>'MC-PAV'!AV43</f>
        <v>0</v>
      </c>
      <c r="N37" s="252">
        <f>IF(E37=0,,('PLANILHA GERAL'!$K$164/COUNTIF($E$12:$E$49,"&gt;0")))</f>
        <v>0</v>
      </c>
      <c r="O37" s="252"/>
      <c r="P37" s="253">
        <f t="shared" si="3"/>
        <v>0</v>
      </c>
      <c r="R37" s="254">
        <v>165</v>
      </c>
    </row>
    <row r="38" spans="1:18" s="254" customFormat="1" ht="40.15" customHeight="1">
      <c r="A38" s="257"/>
      <c r="B38" s="614"/>
      <c r="C38" s="258"/>
      <c r="D38" s="249"/>
      <c r="E38" s="250"/>
      <c r="F38" s="251"/>
      <c r="G38" s="251">
        <f>E38*F38</f>
        <v>0</v>
      </c>
      <c r="H38" s="252">
        <f>IF(E38=0,,('PLANILHA GERAL'!$K$23/COUNTIF($E$12:$E$49,"&gt;0")))</f>
        <v>0</v>
      </c>
      <c r="I38" s="252">
        <f>'MC-DRE'!AC43+'MC-DRE'!AC89+'MC-DRE'!AC285+'MC-DRE'!AF285+'MC-DRE'!AI285+'MC-DRE'!AC334+'MC-DRE'!AF334+'MC-DRE'!AI334+'MC-DRE'!AL334</f>
        <v>0</v>
      </c>
      <c r="J38" s="252">
        <f>'MC-PAV'!AE57</f>
        <v>0</v>
      </c>
      <c r="K38" s="252">
        <f>'MC-PAV'!AK44</f>
        <v>0</v>
      </c>
      <c r="L38" s="252">
        <f>'MC-TER'!AS46</f>
        <v>0</v>
      </c>
      <c r="M38" s="252">
        <f>'MC-PAV'!AV44</f>
        <v>0</v>
      </c>
      <c r="N38" s="252">
        <f>IF(E38=0,,('PLANILHA GERAL'!$K$164/COUNTIF($E$12:$E$49,"&gt;0")))</f>
        <v>0</v>
      </c>
      <c r="O38" s="252"/>
      <c r="P38" s="253">
        <f>H38+I38+J38+K38+L38+M38+N38</f>
        <v>0</v>
      </c>
      <c r="R38" s="254">
        <v>905</v>
      </c>
    </row>
    <row r="39" spans="1:18" s="254" customFormat="1" ht="40.15" customHeight="1">
      <c r="A39" s="257"/>
      <c r="B39" s="614"/>
      <c r="C39" s="258"/>
      <c r="D39" s="249"/>
      <c r="E39" s="250"/>
      <c r="F39" s="251"/>
      <c r="G39" s="251">
        <f t="shared" si="2"/>
        <v>0</v>
      </c>
      <c r="H39" s="252">
        <f>IF(E39=0,,('PLANILHA GERAL'!$K$23/COUNTIF($E$12:$E$49,"&gt;0")))</f>
        <v>0</v>
      </c>
      <c r="I39" s="252">
        <f>'MC-DRE'!AC44+'MC-DRE'!AC90+'MC-DRE'!AC286+'MC-DRE'!AF286+'MC-DRE'!AI286+'MC-DRE'!AC335+'MC-DRE'!AF335+'MC-DRE'!AI335+'MC-DRE'!AL335</f>
        <v>0</v>
      </c>
      <c r="J39" s="252">
        <f>'MC-PAV'!AE58</f>
        <v>0</v>
      </c>
      <c r="K39" s="252">
        <f>'MC-PAV'!AK45</f>
        <v>0</v>
      </c>
      <c r="L39" s="252">
        <f>'MC-TER'!AS47</f>
        <v>0</v>
      </c>
      <c r="M39" s="252">
        <f>'MC-PAV'!AV45</f>
        <v>0</v>
      </c>
      <c r="N39" s="252">
        <f>IF(E39=0,,('PLANILHA GERAL'!$K$164/COUNTIF($E$12:$E$49,"&gt;0")))</f>
        <v>0</v>
      </c>
      <c r="O39" s="252"/>
      <c r="P39" s="615">
        <f t="shared" si="3"/>
        <v>0</v>
      </c>
      <c r="R39" s="254">
        <v>238</v>
      </c>
    </row>
    <row r="40" spans="1:18" s="254" customFormat="1" ht="40.15" customHeight="1">
      <c r="A40" s="257"/>
      <c r="B40" s="614"/>
      <c r="C40" s="258"/>
      <c r="D40" s="249"/>
      <c r="E40" s="250"/>
      <c r="F40" s="251"/>
      <c r="G40" s="251">
        <f t="shared" si="2"/>
        <v>0</v>
      </c>
      <c r="H40" s="252">
        <f>IF(E40=0,,('PLANILHA GERAL'!$K$23/COUNTIF($E$12:$E$49,"&gt;0")))</f>
        <v>0</v>
      </c>
      <c r="I40" s="252">
        <f>'MC-DRE'!AC45+'MC-DRE'!AC91+'MC-DRE'!AC287+'MC-DRE'!AF287+'MC-DRE'!AI287+'MC-DRE'!AC336+'MC-DRE'!AF336+'MC-DRE'!AI336+'MC-DRE'!AL336</f>
        <v>0</v>
      </c>
      <c r="J40" s="252">
        <f>'MC-PAV'!AE59</f>
        <v>0</v>
      </c>
      <c r="K40" s="252">
        <f>'MC-PAV'!AK46</f>
        <v>0</v>
      </c>
      <c r="L40" s="252">
        <f>'MC-TER'!AS48</f>
        <v>0</v>
      </c>
      <c r="M40" s="252">
        <f>'MC-PAV'!AV46</f>
        <v>0</v>
      </c>
      <c r="N40" s="252">
        <f>IF(E40=0,,('PLANILHA GERAL'!$K$164/COUNTIF($E$12:$E$49,"&gt;0")))</f>
        <v>0</v>
      </c>
      <c r="O40" s="252"/>
      <c r="P40" s="253">
        <f t="shared" si="3"/>
        <v>0</v>
      </c>
      <c r="R40" s="254">
        <v>120</v>
      </c>
    </row>
    <row r="41" spans="1:18" s="254" customFormat="1" ht="40.15" customHeight="1">
      <c r="A41" s="257"/>
      <c r="B41" s="614"/>
      <c r="C41" s="258"/>
      <c r="D41" s="249"/>
      <c r="E41" s="250"/>
      <c r="F41" s="251"/>
      <c r="G41" s="251">
        <f t="shared" si="2"/>
        <v>0</v>
      </c>
      <c r="H41" s="252">
        <f>IF(E41=0,,('PLANILHA GERAL'!$K$23/COUNTIF($E$12:$E$49,"&gt;0")))</f>
        <v>0</v>
      </c>
      <c r="I41" s="252">
        <f>'MC-DRE'!AC46+'MC-DRE'!AC92+'MC-DRE'!AC288+'MC-DRE'!AF288+'MC-DRE'!AI288+'MC-DRE'!AC337+'MC-DRE'!AF337+'MC-DRE'!AI337+'MC-DRE'!AL337</f>
        <v>0</v>
      </c>
      <c r="J41" s="252">
        <f>'MC-PAV'!AE60</f>
        <v>0</v>
      </c>
      <c r="K41" s="252">
        <f>'MC-PAV'!AK47</f>
        <v>0</v>
      </c>
      <c r="L41" s="252">
        <f>'MC-TER'!AS49</f>
        <v>0</v>
      </c>
      <c r="M41" s="252">
        <f>'MC-PAV'!AV47</f>
        <v>0</v>
      </c>
      <c r="N41" s="252">
        <f>IF(E41=0,,('PLANILHA GERAL'!$K$164/COUNTIF($E$12:$E$49,"&gt;0")))</f>
        <v>0</v>
      </c>
      <c r="O41" s="252"/>
      <c r="P41" s="253">
        <f t="shared" si="3"/>
        <v>0</v>
      </c>
      <c r="R41" s="254">
        <v>120</v>
      </c>
    </row>
    <row r="42" spans="1:18" s="254" customFormat="1" ht="40.15" customHeight="1">
      <c r="A42" s="257"/>
      <c r="B42" s="614"/>
      <c r="C42" s="258"/>
      <c r="D42" s="249"/>
      <c r="E42" s="250"/>
      <c r="F42" s="251"/>
      <c r="G42" s="251">
        <f>E42*F42</f>
        <v>0</v>
      </c>
      <c r="H42" s="252">
        <f>IF(E42=0,,('PLANILHA GERAL'!$K$23/COUNTIF($E$12:$E$49,"&gt;0")))</f>
        <v>0</v>
      </c>
      <c r="I42" s="252">
        <f>'MC-DRE'!AC47+'MC-DRE'!AC93+'MC-DRE'!AC289+'MC-DRE'!AF289+'MC-DRE'!AI289+'MC-DRE'!AC338+'MC-DRE'!AF338+'MC-DRE'!AI338+'MC-DRE'!AL338</f>
        <v>0</v>
      </c>
      <c r="J42" s="252">
        <f>'MC-PAV'!AE60</f>
        <v>0</v>
      </c>
      <c r="K42" s="252">
        <f>'MC-PAV'!AK48</f>
        <v>0</v>
      </c>
      <c r="L42" s="252">
        <f>'MC-TER'!AS50</f>
        <v>0</v>
      </c>
      <c r="M42" s="252">
        <f>'MC-PAV'!AV48</f>
        <v>0</v>
      </c>
      <c r="N42" s="252">
        <f>IF(E42=0,,('PLANILHA GERAL'!$K$164/COUNTIF($E$12:$E$49,"&gt;0")))</f>
        <v>0</v>
      </c>
      <c r="O42" s="252"/>
      <c r="P42" s="253">
        <f>H42+I42+J42+K42+L42+M42+N42</f>
        <v>0</v>
      </c>
      <c r="R42" s="254">
        <v>1275</v>
      </c>
    </row>
    <row r="43" spans="1:18" s="254" customFormat="1" ht="40.15" customHeight="1">
      <c r="A43" s="257"/>
      <c r="B43" s="614"/>
      <c r="C43" s="258"/>
      <c r="D43" s="249"/>
      <c r="E43" s="250"/>
      <c r="F43" s="251"/>
      <c r="G43" s="251">
        <f>E43*F43</f>
        <v>0</v>
      </c>
      <c r="H43" s="252">
        <f>IF(E43=0,,('PLANILHA GERAL'!$K$23/COUNTIF($E$12:$E$49,"&gt;0")))</f>
        <v>0</v>
      </c>
      <c r="I43" s="252">
        <f>'MC-DRE'!AC48+'MC-DRE'!AC94+'MC-DRE'!AC290+'MC-DRE'!AF290+'MC-DRE'!AI290+'MC-DRE'!AC339+'MC-DRE'!AF339+'MC-DRE'!AI339+'MC-DRE'!AL339</f>
        <v>0</v>
      </c>
      <c r="J43" s="252">
        <f>'MC-PAV'!AE58</f>
        <v>0</v>
      </c>
      <c r="K43" s="252">
        <f>'MC-PAV'!AK49</f>
        <v>0</v>
      </c>
      <c r="L43" s="252">
        <f>'MC-TER'!AS51</f>
        <v>0</v>
      </c>
      <c r="M43" s="252">
        <f>'MC-PAV'!AV49</f>
        <v>0</v>
      </c>
      <c r="N43" s="252">
        <f>IF(E43=0,,('PLANILHA GERAL'!$K$164/COUNTIF($E$12:$E$49,"&gt;0")))</f>
        <v>0</v>
      </c>
      <c r="O43" s="252"/>
      <c r="P43" s="615">
        <f>H43+I43+J43+K43+L43+M43+N43</f>
        <v>0</v>
      </c>
      <c r="R43" s="254">
        <v>115</v>
      </c>
    </row>
    <row r="44" spans="1:18" s="254" customFormat="1" ht="40.15" customHeight="1">
      <c r="A44" s="257"/>
      <c r="B44" s="614"/>
      <c r="C44" s="258"/>
      <c r="D44" s="249"/>
      <c r="E44" s="250"/>
      <c r="F44" s="251"/>
      <c r="G44" s="251">
        <f>E44*F44</f>
        <v>0</v>
      </c>
      <c r="H44" s="252">
        <f>IF(E44=0,,('PLANILHA GERAL'!$K$23/COUNTIF($E$12:$E$49,"&gt;0")))</f>
        <v>0</v>
      </c>
      <c r="I44" s="252">
        <f>'MC-DRE'!AC49+'MC-DRE'!AC95+'MC-DRE'!AC291+'MC-DRE'!AF291+'MC-DRE'!AI291+'MC-DRE'!AC340+'MC-DRE'!AF340+'MC-DRE'!AI340+'MC-DRE'!AL340</f>
        <v>0</v>
      </c>
      <c r="J44" s="252">
        <f>'MC-PAV'!AE59</f>
        <v>0</v>
      </c>
      <c r="K44" s="252">
        <f>'MC-PAV'!AK50</f>
        <v>0</v>
      </c>
      <c r="L44" s="252">
        <f>'MC-TER'!AS52</f>
        <v>0</v>
      </c>
      <c r="M44" s="252">
        <f>'MC-PAV'!AV50</f>
        <v>0</v>
      </c>
      <c r="N44" s="252">
        <f>IF(E44=0,,('PLANILHA GERAL'!$K$164/COUNTIF($E$12:$E$49,"&gt;0")))</f>
        <v>0</v>
      </c>
      <c r="O44" s="252"/>
      <c r="P44" s="253">
        <f>H44+I44+J44+K44+L44+M44+N44</f>
        <v>0</v>
      </c>
      <c r="R44" s="254">
        <v>1335</v>
      </c>
    </row>
    <row r="45" spans="1:18" s="254" customFormat="1" ht="40.15" customHeight="1">
      <c r="A45" s="257"/>
      <c r="B45" s="614"/>
      <c r="C45" s="258"/>
      <c r="D45" s="249"/>
      <c r="E45" s="250"/>
      <c r="F45" s="251"/>
      <c r="G45" s="251">
        <f>E45*F45</f>
        <v>0</v>
      </c>
      <c r="H45" s="252">
        <f>IF(E45=0,,('PLANILHA GERAL'!$K$23/COUNTIF($E$12:$E$49,"&gt;0")))</f>
        <v>0</v>
      </c>
      <c r="I45" s="252">
        <f>'MC-DRE'!AC50+'MC-DRE'!AC96+'MC-DRE'!AC292+'MC-DRE'!AF292+'MC-DRE'!AI292+'MC-DRE'!AC341+'MC-DRE'!AF341+'MC-DRE'!AI341+'MC-DRE'!AL341</f>
        <v>0</v>
      </c>
      <c r="J45" s="252">
        <f>'MC-PAV'!AE60</f>
        <v>0</v>
      </c>
      <c r="K45" s="252">
        <f>'MC-PAV'!AK51</f>
        <v>0</v>
      </c>
      <c r="L45" s="252">
        <f>'MC-TER'!AS53</f>
        <v>0</v>
      </c>
      <c r="M45" s="252">
        <f>'MC-PAV'!AV51</f>
        <v>0</v>
      </c>
      <c r="N45" s="252">
        <f>IF(E45=0,,('PLANILHA GERAL'!$K$164/COUNTIF($E$12:$E$49,"&gt;0")))</f>
        <v>0</v>
      </c>
      <c r="O45" s="252"/>
      <c r="P45" s="253">
        <f>H45+I45+J45+K45+L45+M45+N45</f>
        <v>0</v>
      </c>
      <c r="R45" s="254">
        <v>665</v>
      </c>
    </row>
    <row r="46" spans="1:18" s="254" customFormat="1" ht="40.15" customHeight="1">
      <c r="A46" s="257"/>
      <c r="B46" s="614"/>
      <c r="C46" s="258"/>
      <c r="D46" s="249"/>
      <c r="E46" s="250"/>
      <c r="F46" s="251"/>
      <c r="G46" s="251">
        <f t="shared" si="2"/>
        <v>0</v>
      </c>
      <c r="H46" s="252">
        <f>IF(E46=0,,('PLANILHA GERAL'!$K$23/COUNTIF($E$12:$E$49,"&gt;0")))</f>
        <v>0</v>
      </c>
      <c r="I46" s="252">
        <f>'MC-DRE'!AC51+'MC-DRE'!AC97+'MC-DRE'!AC293+'MC-DRE'!AF293+'MC-DRE'!AI293+'MC-DRE'!AC342+'MC-DRE'!AF342+'MC-DRE'!AI342+'MC-DRE'!AL342</f>
        <v>0</v>
      </c>
      <c r="J46" s="252">
        <f>'MC-PAV'!AE61</f>
        <v>0</v>
      </c>
      <c r="K46" s="252">
        <f>'MC-PAV'!AK52</f>
        <v>0</v>
      </c>
      <c r="L46" s="252">
        <f>'MC-TER'!AS54</f>
        <v>0</v>
      </c>
      <c r="M46" s="252">
        <f>'MC-PAV'!AV52+0</f>
        <v>0</v>
      </c>
      <c r="N46" s="252">
        <f>IF(E46=0,,('PLANILHA GERAL'!$K$164/COUNTIF($E$12:$E$49,"&gt;0")))</f>
        <v>0</v>
      </c>
      <c r="O46" s="252"/>
      <c r="P46" s="253">
        <f>H46+I46+J46+K46+L46+M46+N46+0.35</f>
        <v>0.35</v>
      </c>
      <c r="R46" s="254">
        <v>128</v>
      </c>
    </row>
    <row r="47" spans="1:18" s="254" customFormat="1" ht="40.15" customHeight="1">
      <c r="A47" s="257"/>
      <c r="B47" s="614"/>
      <c r="C47" s="258"/>
      <c r="D47" s="249"/>
      <c r="E47" s="250"/>
      <c r="F47" s="251"/>
      <c r="G47" s="251">
        <f>E47*F47</f>
        <v>0</v>
      </c>
      <c r="H47" s="252">
        <f>IF(E47=0,,('PLANILHA GERAL'!$K$23/COUNTIF($E$12:$E$49,"&gt;0")))</f>
        <v>0</v>
      </c>
      <c r="I47" s="252">
        <f>'MC-DRE'!AC52+'MC-DRE'!AC98+'MC-DRE'!AC294+'MC-DRE'!AF294+'MC-DRE'!AI294+'MC-DRE'!AC343+'MC-DRE'!AF343+'MC-DRE'!AI343+'MC-DRE'!AL343</f>
        <v>0</v>
      </c>
      <c r="J47" s="252">
        <f>'MC-PAV'!AE62</f>
        <v>0</v>
      </c>
      <c r="K47" s="252">
        <f>'MC-PAV'!AK53</f>
        <v>0</v>
      </c>
      <c r="L47" s="252">
        <f>'MC-TER'!AS55</f>
        <v>0</v>
      </c>
      <c r="M47" s="252">
        <f>'MC-PAV'!AV53+0.01</f>
        <v>0.01</v>
      </c>
      <c r="N47" s="252">
        <f>IF(E47=0,,('PLANILHA GERAL'!$K$164/COUNTIF($E$12:$E$49,"&gt;0")))</f>
        <v>0</v>
      </c>
      <c r="O47" s="252"/>
      <c r="P47" s="253">
        <f>H47+I47+J47+K47+L47+M47+N47+0.35</f>
        <v>0.36</v>
      </c>
    </row>
    <row r="48" spans="1:18" s="254" customFormat="1" ht="40.15" customHeight="1">
      <c r="A48" s="257"/>
      <c r="B48" s="614"/>
      <c r="C48" s="258"/>
      <c r="D48" s="249"/>
      <c r="E48" s="250"/>
      <c r="F48" s="251"/>
      <c r="G48" s="251">
        <f>E48*F48</f>
        <v>0</v>
      </c>
      <c r="H48" s="252">
        <f>IF(E48=0,,('PLANILHA GERAL'!$K$23/COUNTIF($E$12:$E$49,"&gt;0")))</f>
        <v>0</v>
      </c>
      <c r="I48" s="252">
        <f>'MC-DRE'!AC53+'MC-DRE'!AC99+'MC-DRE'!AC295+'MC-DRE'!AF295+'MC-DRE'!AI295+'MC-DRE'!AC344+'MC-DRE'!AF344+'MC-DRE'!AI344+'MC-DRE'!AL344</f>
        <v>0</v>
      </c>
      <c r="J48" s="252">
        <f>'MC-PAV'!AE63</f>
        <v>0</v>
      </c>
      <c r="K48" s="252">
        <f>'MC-PAV'!AK54</f>
        <v>0</v>
      </c>
      <c r="L48" s="252">
        <f>'MC-TER'!AS56</f>
        <v>0</v>
      </c>
      <c r="M48" s="252">
        <f>'MC-PAV'!AV54+0.01</f>
        <v>0.01</v>
      </c>
      <c r="N48" s="252">
        <f>IF(E48=0,,('PLANILHA GERAL'!$K$164/COUNTIF($E$12:$E$49,"&gt;0")))</f>
        <v>0</v>
      </c>
      <c r="O48" s="252"/>
      <c r="P48" s="253">
        <f>H48+I48+J48+K48+L48+M48+N48+0.35</f>
        <v>0.36</v>
      </c>
    </row>
    <row r="49" spans="1:18" s="254" customFormat="1" ht="40.15" customHeight="1" thickBot="1">
      <c r="A49" s="257"/>
      <c r="B49" s="614"/>
      <c r="C49" s="258"/>
      <c r="D49" s="249"/>
      <c r="E49" s="250"/>
      <c r="F49" s="251"/>
      <c r="G49" s="251">
        <f>E49*F49</f>
        <v>0</v>
      </c>
      <c r="H49" s="252">
        <f>IF(E49=0,,('PLANILHA GERAL'!$K$23/COUNTIF($E$12:$E$49,"&gt;0")))</f>
        <v>0</v>
      </c>
      <c r="I49" s="252">
        <f>'MC-DRE'!AC54+'MC-DRE'!AC100+'MC-DRE'!AC296+'MC-DRE'!AF296+'MC-DRE'!AI296+'MC-DRE'!AC345+'MC-DRE'!AF345+'MC-DRE'!AI345+'MC-DRE'!AL345</f>
        <v>0</v>
      </c>
      <c r="J49" s="252">
        <f>'MC-PAV'!AE64</f>
        <v>0</v>
      </c>
      <c r="K49" s="252">
        <f>'MC-PAV'!AK55</f>
        <v>0</v>
      </c>
      <c r="L49" s="252">
        <f>'MC-TER'!AS57</f>
        <v>0</v>
      </c>
      <c r="M49" s="252">
        <f>'MC-PAV'!AV55+0.01</f>
        <v>0.01</v>
      </c>
      <c r="N49" s="252">
        <f>IF(E49=0,,('PLANILHA GERAL'!$K$164/COUNTIF($E$12:$E$49,"&gt;0")))</f>
        <v>0</v>
      </c>
      <c r="O49" s="252"/>
      <c r="P49" s="253">
        <f>H49+I49+J49+K49+L49+M49+N49+0.35</f>
        <v>0.36</v>
      </c>
    </row>
    <row r="50" spans="1:18" s="263" customFormat="1" ht="50.25" customHeight="1" thickBot="1">
      <c r="A50" s="2013" t="s">
        <v>330</v>
      </c>
      <c r="B50" s="2014"/>
      <c r="C50" s="2014"/>
      <c r="D50" s="2014"/>
      <c r="E50" s="619">
        <f>SUM(E12:E49)</f>
        <v>1963.07</v>
      </c>
      <c r="F50" s="611"/>
      <c r="G50" s="619">
        <f t="shared" ref="G50:P50" si="4">SUM(G12:G49)</f>
        <v>20344.91</v>
      </c>
      <c r="H50" s="612">
        <f t="shared" si="4"/>
        <v>242499.66</v>
      </c>
      <c r="I50" s="612">
        <f t="shared" si="4"/>
        <v>8412743.4499999993</v>
      </c>
      <c r="J50" s="612">
        <f t="shared" si="4"/>
        <v>1462858.88</v>
      </c>
      <c r="K50" s="612">
        <f t="shared" si="4"/>
        <v>2305927.7599999998</v>
      </c>
      <c r="L50" s="612">
        <f t="shared" si="4"/>
        <v>14561093.41</v>
      </c>
      <c r="M50" s="612">
        <f t="shared" si="4"/>
        <v>22058596.309999999</v>
      </c>
      <c r="N50" s="612">
        <f t="shared" si="4"/>
        <v>142639.01999999999</v>
      </c>
      <c r="O50" s="612"/>
      <c r="P50" s="612">
        <f t="shared" si="4"/>
        <v>50500524.829999998</v>
      </c>
      <c r="Q50" s="501">
        <f>'PLANILHA GERAL'!$K$279</f>
        <v>59288144.700000003</v>
      </c>
      <c r="R50" s="501">
        <f>Q50-P50</f>
        <v>8787619.8699999992</v>
      </c>
    </row>
    <row r="52" spans="1:18">
      <c r="A52" s="2012" t="s">
        <v>435</v>
      </c>
      <c r="B52" s="2012"/>
      <c r="C52" s="2012"/>
      <c r="D52" s="2012"/>
      <c r="E52" s="2012"/>
      <c r="F52" s="2012"/>
      <c r="G52" s="2012"/>
      <c r="H52" s="2012"/>
      <c r="I52" s="2012"/>
      <c r="J52" s="2012"/>
      <c r="K52" s="2012"/>
      <c r="L52" s="2012"/>
      <c r="M52" s="2012"/>
      <c r="N52" s="2012"/>
      <c r="O52" s="2012"/>
      <c r="P52" s="2012"/>
    </row>
    <row r="53" spans="1:18">
      <c r="A53" s="2012"/>
      <c r="B53" s="2012"/>
      <c r="C53" s="2012"/>
      <c r="D53" s="2012"/>
      <c r="E53" s="2012"/>
      <c r="F53" s="2012"/>
      <c r="G53" s="2012"/>
      <c r="H53" s="2012"/>
      <c r="I53" s="2012"/>
      <c r="J53" s="2012"/>
      <c r="K53" s="2012"/>
      <c r="L53" s="2012"/>
      <c r="M53" s="2012"/>
      <c r="N53" s="2012"/>
      <c r="O53" s="2012"/>
      <c r="P53" s="2012"/>
    </row>
    <row r="54" spans="1:18">
      <c r="A54" s="2012"/>
      <c r="B54" s="2012"/>
      <c r="C54" s="2012"/>
      <c r="D54" s="2012"/>
      <c r="E54" s="2012"/>
      <c r="F54" s="2012"/>
      <c r="G54" s="2012"/>
      <c r="H54" s="2012"/>
      <c r="I54" s="2012"/>
      <c r="J54" s="2012"/>
      <c r="K54" s="2012"/>
      <c r="L54" s="2012"/>
      <c r="M54" s="2012"/>
      <c r="N54" s="2012"/>
      <c r="O54" s="2012"/>
      <c r="P54" s="2012"/>
    </row>
    <row r="55" spans="1:18">
      <c r="A55" s="2012" t="s">
        <v>662</v>
      </c>
      <c r="B55" s="2012"/>
      <c r="C55" s="2012"/>
      <c r="D55" s="2012"/>
      <c r="E55" s="2012"/>
      <c r="F55" s="2012"/>
      <c r="G55" s="2012"/>
      <c r="H55" s="2012"/>
      <c r="I55" s="2012"/>
      <c r="J55" s="2012"/>
      <c r="K55" s="2012"/>
      <c r="L55" s="2012"/>
      <c r="M55" s="2012"/>
      <c r="N55" s="2012"/>
      <c r="O55" s="2012"/>
      <c r="P55" s="2012"/>
    </row>
    <row r="56" spans="1:18">
      <c r="A56" s="2012"/>
      <c r="B56" s="2012"/>
      <c r="C56" s="2012"/>
      <c r="D56" s="2012"/>
      <c r="E56" s="2012"/>
      <c r="F56" s="2012"/>
      <c r="G56" s="2012"/>
      <c r="H56" s="2012"/>
      <c r="I56" s="2012"/>
      <c r="J56" s="2012"/>
      <c r="K56" s="2012"/>
      <c r="L56" s="2012"/>
      <c r="M56" s="2012"/>
      <c r="N56" s="2012"/>
      <c r="O56" s="2012"/>
      <c r="P56" s="2012"/>
    </row>
    <row r="57" spans="1:18">
      <c r="A57" s="2012"/>
      <c r="B57" s="2012"/>
      <c r="C57" s="2012"/>
      <c r="D57" s="2012"/>
      <c r="E57" s="2012"/>
      <c r="F57" s="2012"/>
      <c r="G57" s="2012"/>
      <c r="H57" s="2012"/>
      <c r="I57" s="2012"/>
      <c r="J57" s="2012"/>
      <c r="K57" s="2012"/>
      <c r="L57" s="2012"/>
      <c r="M57" s="2012"/>
      <c r="N57" s="2012"/>
      <c r="O57" s="2012"/>
      <c r="P57" s="2012"/>
    </row>
    <row r="58" spans="1:18">
      <c r="A58" s="2012" t="s">
        <v>663</v>
      </c>
      <c r="B58" s="2012"/>
      <c r="C58" s="2012"/>
      <c r="D58" s="2012"/>
      <c r="E58" s="2012"/>
      <c r="F58" s="2012"/>
      <c r="G58" s="2012"/>
      <c r="H58" s="2012"/>
      <c r="I58" s="2012"/>
      <c r="J58" s="2012"/>
      <c r="K58" s="2012"/>
      <c r="L58" s="2012"/>
      <c r="M58" s="2012"/>
      <c r="N58" s="2012"/>
      <c r="O58" s="2012"/>
      <c r="P58" s="2012"/>
    </row>
    <row r="59" spans="1:18">
      <c r="A59" s="2012"/>
      <c r="B59" s="2012"/>
      <c r="C59" s="2012"/>
      <c r="D59" s="2012"/>
      <c r="E59" s="2012"/>
      <c r="F59" s="2012"/>
      <c r="G59" s="2012"/>
      <c r="H59" s="2012"/>
      <c r="I59" s="2012"/>
      <c r="J59" s="2012"/>
      <c r="K59" s="2012"/>
      <c r="L59" s="2012"/>
      <c r="M59" s="2012"/>
      <c r="N59" s="2012"/>
      <c r="O59" s="2012"/>
      <c r="P59" s="2012"/>
    </row>
    <row r="60" spans="1:18">
      <c r="A60" s="2012"/>
      <c r="B60" s="2012"/>
      <c r="C60" s="2012"/>
      <c r="D60" s="2012"/>
      <c r="E60" s="2012"/>
      <c r="F60" s="2012"/>
      <c r="G60" s="2012"/>
      <c r="H60" s="2012"/>
      <c r="I60" s="2012"/>
      <c r="J60" s="2012"/>
      <c r="K60" s="2012"/>
      <c r="L60" s="2012"/>
      <c r="M60" s="2012"/>
      <c r="N60" s="2012"/>
      <c r="O60" s="2012"/>
      <c r="P60" s="2012"/>
    </row>
    <row r="61" spans="1:18">
      <c r="A61" s="2012" t="s">
        <v>664</v>
      </c>
      <c r="B61" s="2012"/>
      <c r="C61" s="2012"/>
      <c r="D61" s="2012"/>
      <c r="E61" s="2012"/>
      <c r="F61" s="2012"/>
      <c r="G61" s="2012"/>
      <c r="H61" s="2012"/>
      <c r="I61" s="2012"/>
      <c r="J61" s="2012"/>
      <c r="K61" s="2012"/>
      <c r="L61" s="2012"/>
      <c r="M61" s="2012"/>
      <c r="N61" s="2012"/>
      <c r="O61" s="2012"/>
      <c r="P61" s="2012"/>
    </row>
    <row r="62" spans="1:18">
      <c r="A62" s="2012"/>
      <c r="B62" s="2012"/>
      <c r="C62" s="2012"/>
      <c r="D62" s="2012"/>
      <c r="E62" s="2012"/>
      <c r="F62" s="2012"/>
      <c r="G62" s="2012"/>
      <c r="H62" s="2012"/>
      <c r="I62" s="2012"/>
      <c r="J62" s="2012"/>
      <c r="K62" s="2012"/>
      <c r="L62" s="2012"/>
      <c r="M62" s="2012"/>
      <c r="N62" s="2012"/>
      <c r="O62" s="2012"/>
      <c r="P62" s="2012"/>
    </row>
    <row r="63" spans="1:18">
      <c r="A63" s="2012"/>
      <c r="B63" s="2012"/>
      <c r="C63" s="2012"/>
      <c r="D63" s="2012"/>
      <c r="E63" s="2012"/>
      <c r="F63" s="2012"/>
      <c r="G63" s="2012"/>
      <c r="H63" s="2012"/>
      <c r="I63" s="2012"/>
      <c r="J63" s="2012"/>
      <c r="K63" s="2012"/>
      <c r="L63" s="2012"/>
      <c r="M63" s="2012"/>
      <c r="N63" s="2012"/>
      <c r="O63" s="2012"/>
      <c r="P63" s="2012"/>
    </row>
  </sheetData>
  <sheetProtection formatCells="0" formatColumns="0" formatRows="0" insertColumns="0" insertRows="0" insertHyperlinks="0" deleteColumns="0" deleteRows="0"/>
  <mergeCells count="14">
    <mergeCell ref="A1:P1"/>
    <mergeCell ref="A5:P5"/>
    <mergeCell ref="A6:P6"/>
    <mergeCell ref="A7:P7"/>
    <mergeCell ref="A9:P9"/>
    <mergeCell ref="A10:P10"/>
    <mergeCell ref="A61:P63"/>
    <mergeCell ref="A50:D50"/>
    <mergeCell ref="A2:P2"/>
    <mergeCell ref="A3:P3"/>
    <mergeCell ref="A4:P4"/>
    <mergeCell ref="A58:P60"/>
    <mergeCell ref="A55:P57"/>
    <mergeCell ref="A52:P54"/>
  </mergeCells>
  <phoneticPr fontId="42" type="noConversion"/>
  <printOptions horizontalCentered="1"/>
  <pageMargins left="0.51181102362204722" right="0.51181102362204722" top="0.78740157480314965" bottom="0.78740157480314965" header="0.31496062992125984" footer="0.31496062992125984"/>
  <pageSetup paperSize="9" scale="34"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95E4-7DF8-4489-9DB9-71F1CCD419BB}">
  <sheetPr codeName="Planilha31">
    <tabColor theme="7" tint="0.39997558519241921"/>
    <pageSetUpPr fitToPage="1"/>
  </sheetPr>
  <dimension ref="A2:L212"/>
  <sheetViews>
    <sheetView showGridLines="0" view="pageBreakPreview" zoomScale="68" zoomScaleNormal="70" zoomScaleSheetLayoutView="68" workbookViewId="0">
      <pane xSplit="4" ySplit="9" topLeftCell="E65" activePane="bottomRight" state="frozen"/>
      <selection activeCell="B14" sqref="B14:D14"/>
      <selection pane="topRight" activeCell="B14" sqref="B14:D14"/>
      <selection pane="bottomLeft" activeCell="B14" sqref="B14:D14"/>
      <selection pane="bottomRight" activeCell="E37" sqref="E37"/>
    </sheetView>
  </sheetViews>
  <sheetFormatPr defaultColWidth="9.140625" defaultRowHeight="15.75"/>
  <cols>
    <col min="1" max="1" width="11.42578125" style="1004" customWidth="1"/>
    <col min="2" max="2" width="13.7109375" style="958" customWidth="1"/>
    <col min="3" max="3" width="92.7109375" style="958" customWidth="1"/>
    <col min="4" max="4" width="9.7109375" style="958" customWidth="1"/>
    <col min="5" max="5" width="12.7109375" style="958" customWidth="1"/>
    <col min="6" max="6" width="13.28515625" style="1007" customWidth="1"/>
    <col min="7" max="7" width="15.42578125" style="1007" customWidth="1"/>
    <col min="8" max="8" width="17" style="1007" bestFit="1" customWidth="1"/>
    <col min="9" max="9" width="14" style="958" bestFit="1" customWidth="1"/>
    <col min="10" max="10" width="14.28515625" style="958" bestFit="1" customWidth="1"/>
    <col min="11" max="11" width="22.28515625" style="958" customWidth="1"/>
    <col min="12" max="16384" width="9.140625" style="958"/>
  </cols>
  <sheetData>
    <row r="2" spans="1:11" ht="15" customHeight="1">
      <c r="A2" s="956" t="s">
        <v>941</v>
      </c>
      <c r="B2" s="957" t="s">
        <v>942</v>
      </c>
      <c r="C2" s="957"/>
      <c r="D2" s="812"/>
      <c r="E2" s="812"/>
      <c r="F2" s="812"/>
      <c r="G2" s="813"/>
      <c r="H2" s="814"/>
    </row>
    <row r="3" spans="1:11" ht="15" customHeight="1">
      <c r="A3" s="959" t="s">
        <v>943</v>
      </c>
      <c r="B3" s="960"/>
      <c r="C3" s="960"/>
      <c r="E3" s="961" t="s">
        <v>944</v>
      </c>
      <c r="F3" s="815"/>
      <c r="G3" s="816"/>
      <c r="H3" s="817"/>
    </row>
    <row r="4" spans="1:11" ht="15" customHeight="1">
      <c r="A4" s="959" t="s">
        <v>567</v>
      </c>
      <c r="B4" s="2027" t="s">
        <v>1545</v>
      </c>
      <c r="C4" s="2027"/>
      <c r="E4" s="818" t="s">
        <v>946</v>
      </c>
      <c r="F4" s="815"/>
      <c r="G4" s="816"/>
      <c r="H4" s="817"/>
    </row>
    <row r="5" spans="1:11" s="962" customFormat="1" ht="15" customHeight="1">
      <c r="A5" s="959"/>
      <c r="B5" s="2027"/>
      <c r="C5" s="2027"/>
      <c r="E5" s="961" t="s">
        <v>947</v>
      </c>
      <c r="F5" s="963" t="s">
        <v>1717</v>
      </c>
      <c r="G5" s="816"/>
      <c r="H5" s="817"/>
    </row>
    <row r="6" spans="1:11" ht="15.75" customHeight="1">
      <c r="A6" s="964" t="s">
        <v>948</v>
      </c>
      <c r="B6" s="965" t="s">
        <v>949</v>
      </c>
      <c r="D6" s="819"/>
      <c r="E6" s="961" t="s">
        <v>950</v>
      </c>
      <c r="F6" s="820">
        <f>'PLANILHA GERAL'!J16</f>
        <v>0.27460000000000001</v>
      </c>
      <c r="G6" s="819"/>
      <c r="H6" s="821"/>
    </row>
    <row r="7" spans="1:11" ht="15.75" customHeight="1">
      <c r="A7" s="966" t="s">
        <v>951</v>
      </c>
      <c r="B7" s="2028" t="s">
        <v>1544</v>
      </c>
      <c r="C7" s="2028"/>
      <c r="D7" s="967"/>
      <c r="E7" s="968" t="s">
        <v>952</v>
      </c>
      <c r="F7" s="967"/>
      <c r="G7" s="967"/>
      <c r="H7" s="969"/>
    </row>
    <row r="8" spans="1:11" ht="15.75" customHeight="1">
      <c r="A8" s="2029" t="s">
        <v>6</v>
      </c>
      <c r="B8" s="2031" t="s">
        <v>953</v>
      </c>
      <c r="C8" s="2033" t="s">
        <v>954</v>
      </c>
      <c r="D8" s="2033" t="s">
        <v>462</v>
      </c>
      <c r="E8" s="2035" t="s">
        <v>955</v>
      </c>
      <c r="F8" s="2036"/>
      <c r="G8" s="2033" t="s">
        <v>761</v>
      </c>
      <c r="H8" s="2031" t="s">
        <v>956</v>
      </c>
    </row>
    <row r="9" spans="1:11">
      <c r="A9" s="2030"/>
      <c r="B9" s="2032"/>
      <c r="C9" s="2034"/>
      <c r="D9" s="2034"/>
      <c r="E9" s="970" t="s">
        <v>957</v>
      </c>
      <c r="F9" s="970" t="s">
        <v>958</v>
      </c>
      <c r="G9" s="2034"/>
      <c r="H9" s="2032"/>
    </row>
    <row r="10" spans="1:11">
      <c r="A10" s="974" t="s">
        <v>959</v>
      </c>
      <c r="B10" s="975"/>
      <c r="C10" s="976" t="s">
        <v>960</v>
      </c>
      <c r="D10" s="971"/>
      <c r="E10" s="977"/>
      <c r="F10" s="977"/>
      <c r="G10" s="978"/>
      <c r="H10" s="978">
        <f>SUBTOTAL(9,H11:H24)</f>
        <v>705225.06</v>
      </c>
      <c r="J10" s="958">
        <v>1820796.16</v>
      </c>
    </row>
    <row r="11" spans="1:11">
      <c r="A11" s="979" t="s">
        <v>19</v>
      </c>
      <c r="B11" s="979" t="s">
        <v>961</v>
      </c>
      <c r="C11" s="980" t="s">
        <v>962</v>
      </c>
      <c r="D11" s="981" t="s">
        <v>963</v>
      </c>
      <c r="E11" s="982">
        <f>Composição1a!F37</f>
        <v>57048.76</v>
      </c>
      <c r="F11" s="822">
        <f t="shared" ref="F11:F102" si="0">ROUND(E11*(1+$F$6),2)</f>
        <v>72714.350000000006</v>
      </c>
      <c r="G11" s="822">
        <v>8</v>
      </c>
      <c r="H11" s="822">
        <f t="shared" ref="H11:H24" si="1">ROUND(G11*F11,2)</f>
        <v>581714.80000000005</v>
      </c>
      <c r="J11" s="958">
        <f>J10-H10</f>
        <v>1115571.1000000001</v>
      </c>
      <c r="K11" s="983">
        <v>2.9376599999999999E-3</v>
      </c>
    </row>
    <row r="12" spans="1:11">
      <c r="A12" s="979" t="s">
        <v>20</v>
      </c>
      <c r="B12" s="979" t="s">
        <v>964</v>
      </c>
      <c r="C12" s="984" t="s">
        <v>965</v>
      </c>
      <c r="D12" s="981" t="s">
        <v>280</v>
      </c>
      <c r="E12" s="982">
        <f>Composição2!F37</f>
        <v>2.5</v>
      </c>
      <c r="F12" s="822">
        <f t="shared" si="0"/>
        <v>3.19</v>
      </c>
      <c r="G12" s="822">
        <f>'MC TERR'!F40*AVERAGE('MC TERR'!H13:H39)</f>
        <v>1593.6</v>
      </c>
      <c r="H12" s="822">
        <f t="shared" si="1"/>
        <v>5083.58</v>
      </c>
    </row>
    <row r="13" spans="1:11">
      <c r="A13" s="985" t="s">
        <v>354</v>
      </c>
      <c r="B13" s="986"/>
      <c r="C13" s="987" t="s">
        <v>966</v>
      </c>
      <c r="D13" s="981"/>
      <c r="E13" s="982"/>
      <c r="F13" s="982"/>
      <c r="G13" s="822"/>
      <c r="H13" s="822"/>
    </row>
    <row r="14" spans="1:11">
      <c r="A14" s="979" t="s">
        <v>967</v>
      </c>
      <c r="B14" s="979" t="s">
        <v>968</v>
      </c>
      <c r="C14" s="988" t="s">
        <v>969</v>
      </c>
      <c r="D14" s="981" t="s">
        <v>970</v>
      </c>
      <c r="E14" s="982">
        <f>Composição3a!I51</f>
        <v>46456.41</v>
      </c>
      <c r="F14" s="822">
        <f t="shared" si="0"/>
        <v>59213.34</v>
      </c>
      <c r="G14" s="822">
        <v>1</v>
      </c>
      <c r="H14" s="822">
        <f t="shared" si="1"/>
        <v>59213.34</v>
      </c>
    </row>
    <row r="15" spans="1:11">
      <c r="A15" s="979" t="s">
        <v>971</v>
      </c>
      <c r="B15" s="979" t="s">
        <v>972</v>
      </c>
      <c r="C15" s="988" t="s">
        <v>973</v>
      </c>
      <c r="D15" s="981" t="s">
        <v>970</v>
      </c>
      <c r="E15" s="982">
        <f>E14</f>
        <v>46456.41</v>
      </c>
      <c r="F15" s="822">
        <f t="shared" si="0"/>
        <v>59213.34</v>
      </c>
      <c r="G15" s="822">
        <v>1</v>
      </c>
      <c r="H15" s="822">
        <f t="shared" si="1"/>
        <v>59213.34</v>
      </c>
    </row>
    <row r="16" spans="1:11" hidden="1">
      <c r="A16" s="985" t="s">
        <v>443</v>
      </c>
      <c r="B16" s="986"/>
      <c r="C16" s="987" t="s">
        <v>974</v>
      </c>
      <c r="D16" s="981"/>
      <c r="E16" s="982"/>
      <c r="F16" s="982"/>
      <c r="G16" s="822"/>
      <c r="H16" s="822"/>
    </row>
    <row r="17" spans="1:12" ht="31.5" hidden="1">
      <c r="A17" s="979" t="s">
        <v>975</v>
      </c>
      <c r="B17" s="989">
        <v>93207</v>
      </c>
      <c r="C17" s="984" t="s">
        <v>976</v>
      </c>
      <c r="D17" s="981" t="s">
        <v>280</v>
      </c>
      <c r="E17" s="982">
        <v>1168.68</v>
      </c>
      <c r="F17" s="822">
        <f t="shared" si="0"/>
        <v>1489.6</v>
      </c>
      <c r="G17" s="822"/>
      <c r="H17" s="822">
        <f t="shared" si="1"/>
        <v>0</v>
      </c>
    </row>
    <row r="18" spans="1:12" ht="31.5" hidden="1">
      <c r="A18" s="979" t="s">
        <v>977</v>
      </c>
      <c r="B18" s="989">
        <v>93208</v>
      </c>
      <c r="C18" s="984" t="s">
        <v>978</v>
      </c>
      <c r="D18" s="981" t="s">
        <v>280</v>
      </c>
      <c r="E18" s="982">
        <v>901.43</v>
      </c>
      <c r="F18" s="822">
        <f t="shared" si="0"/>
        <v>1148.96</v>
      </c>
      <c r="G18" s="822"/>
      <c r="H18" s="822">
        <f t="shared" si="1"/>
        <v>0</v>
      </c>
    </row>
    <row r="19" spans="1:12" ht="31.5" hidden="1">
      <c r="A19" s="979" t="s">
        <v>979</v>
      </c>
      <c r="B19" s="989">
        <v>93210</v>
      </c>
      <c r="C19" s="984" t="s">
        <v>980</v>
      </c>
      <c r="D19" s="981" t="s">
        <v>280</v>
      </c>
      <c r="E19" s="982">
        <v>645.16</v>
      </c>
      <c r="F19" s="822">
        <f t="shared" si="0"/>
        <v>822.32</v>
      </c>
      <c r="G19" s="822"/>
      <c r="H19" s="822">
        <f t="shared" si="1"/>
        <v>0</v>
      </c>
    </row>
    <row r="20" spans="1:12" ht="31.5" hidden="1">
      <c r="A20" s="979" t="s">
        <v>981</v>
      </c>
      <c r="B20" s="989">
        <v>93212</v>
      </c>
      <c r="C20" s="984" t="s">
        <v>982</v>
      </c>
      <c r="D20" s="981" t="s">
        <v>280</v>
      </c>
      <c r="E20" s="982">
        <v>1023.22</v>
      </c>
      <c r="F20" s="822">
        <f t="shared" si="0"/>
        <v>1304.2</v>
      </c>
      <c r="G20" s="822"/>
      <c r="H20" s="822">
        <f t="shared" si="1"/>
        <v>0</v>
      </c>
    </row>
    <row r="21" spans="1:12" ht="47.25" hidden="1">
      <c r="A21" s="979" t="s">
        <v>983</v>
      </c>
      <c r="B21" s="989">
        <v>98068</v>
      </c>
      <c r="C21" s="984" t="s">
        <v>984</v>
      </c>
      <c r="D21" s="981" t="s">
        <v>970</v>
      </c>
      <c r="E21" s="982">
        <v>9115.9699999999993</v>
      </c>
      <c r="F21" s="822">
        <f t="shared" si="0"/>
        <v>11619.22</v>
      </c>
      <c r="G21" s="822"/>
      <c r="H21" s="822">
        <f t="shared" si="1"/>
        <v>0</v>
      </c>
      <c r="L21" s="823"/>
    </row>
    <row r="22" spans="1:12" ht="31.5" hidden="1">
      <c r="A22" s="979" t="s">
        <v>985</v>
      </c>
      <c r="B22" s="989">
        <v>98080</v>
      </c>
      <c r="C22" s="988" t="s">
        <v>986</v>
      </c>
      <c r="D22" s="981" t="s">
        <v>970</v>
      </c>
      <c r="E22" s="982">
        <v>10038.75</v>
      </c>
      <c r="F22" s="822">
        <f t="shared" si="0"/>
        <v>12795.39</v>
      </c>
      <c r="G22" s="822"/>
      <c r="H22" s="822">
        <f t="shared" si="1"/>
        <v>0</v>
      </c>
    </row>
    <row r="23" spans="1:12" hidden="1">
      <c r="A23" s="979" t="s">
        <v>987</v>
      </c>
      <c r="B23" s="989">
        <v>101505</v>
      </c>
      <c r="C23" s="984" t="s">
        <v>988</v>
      </c>
      <c r="D23" s="981" t="s">
        <v>970</v>
      </c>
      <c r="E23" s="982">
        <v>1712.9</v>
      </c>
      <c r="F23" s="822">
        <f t="shared" si="0"/>
        <v>2183.2600000000002</v>
      </c>
      <c r="G23" s="822"/>
      <c r="H23" s="822">
        <f t="shared" si="1"/>
        <v>0</v>
      </c>
    </row>
    <row r="24" spans="1:12" hidden="1">
      <c r="A24" s="979" t="s">
        <v>989</v>
      </c>
      <c r="B24" s="990" t="s">
        <v>990</v>
      </c>
      <c r="C24" s="988" t="s">
        <v>991</v>
      </c>
      <c r="D24" s="981" t="s">
        <v>280</v>
      </c>
      <c r="E24" s="982">
        <f>'CPU''S'!G34</f>
        <v>372.35</v>
      </c>
      <c r="F24" s="822">
        <f t="shared" si="0"/>
        <v>474.6</v>
      </c>
      <c r="G24" s="822"/>
      <c r="H24" s="822">
        <f t="shared" si="1"/>
        <v>0</v>
      </c>
      <c r="J24" s="991">
        <v>0.27654109599999999</v>
      </c>
    </row>
    <row r="25" spans="1:12">
      <c r="A25" s="985" t="s">
        <v>992</v>
      </c>
      <c r="B25" s="989"/>
      <c r="C25" s="992" t="s">
        <v>1552</v>
      </c>
      <c r="D25" s="981"/>
      <c r="E25" s="824"/>
      <c r="F25" s="824"/>
      <c r="G25" s="825"/>
      <c r="H25" s="993">
        <f>SUBTOTAL(9,H26:H78)</f>
        <v>2845401.54</v>
      </c>
    </row>
    <row r="26" spans="1:12">
      <c r="A26" s="979" t="s">
        <v>4</v>
      </c>
      <c r="B26" s="989"/>
      <c r="C26" s="992" t="s">
        <v>993</v>
      </c>
      <c r="D26" s="981"/>
      <c r="E26" s="824"/>
      <c r="F26" s="824"/>
      <c r="G26" s="822"/>
      <c r="H26" s="822"/>
    </row>
    <row r="27" spans="1:12" ht="31.5" hidden="1">
      <c r="A27" s="979" t="s">
        <v>994</v>
      </c>
      <c r="B27" s="994">
        <v>5501700</v>
      </c>
      <c r="C27" s="984" t="s">
        <v>995</v>
      </c>
      <c r="D27" s="981" t="s">
        <v>280</v>
      </c>
      <c r="E27" s="982">
        <v>0.56000000000000005</v>
      </c>
      <c r="F27" s="822">
        <f t="shared" si="0"/>
        <v>0.71</v>
      </c>
      <c r="G27" s="822">
        <f>'MC DESM'!I13</f>
        <v>0</v>
      </c>
      <c r="H27" s="822">
        <f t="shared" ref="H27:H48" si="2">ROUND(G27*F27,2)</f>
        <v>0</v>
      </c>
    </row>
    <row r="28" spans="1:12" ht="31.5">
      <c r="A28" s="979" t="s">
        <v>996</v>
      </c>
      <c r="B28" s="1000">
        <v>98525</v>
      </c>
      <c r="C28" s="984" t="s">
        <v>997</v>
      </c>
      <c r="D28" s="981" t="s">
        <v>280</v>
      </c>
      <c r="E28" s="982">
        <v>0.61</v>
      </c>
      <c r="F28" s="822">
        <f t="shared" si="0"/>
        <v>0.78</v>
      </c>
      <c r="G28" s="822">
        <f>'MC DESM'!J13</f>
        <v>7680</v>
      </c>
      <c r="H28" s="822">
        <f t="shared" si="2"/>
        <v>5990.4</v>
      </c>
    </row>
    <row r="29" spans="1:12" hidden="1">
      <c r="A29" s="979" t="s">
        <v>998</v>
      </c>
      <c r="B29" s="994">
        <v>98526</v>
      </c>
      <c r="C29" s="988" t="s">
        <v>999</v>
      </c>
      <c r="D29" s="981" t="s">
        <v>970</v>
      </c>
      <c r="E29" s="982">
        <v>77.62</v>
      </c>
      <c r="F29" s="822">
        <f t="shared" si="0"/>
        <v>98.93</v>
      </c>
      <c r="G29" s="822">
        <f>[16]Desmat!F34+[16]Desmat!F35</f>
        <v>0</v>
      </c>
      <c r="H29" s="822">
        <f t="shared" si="2"/>
        <v>0</v>
      </c>
    </row>
    <row r="30" spans="1:12" hidden="1">
      <c r="A30" s="972" t="s">
        <v>1000</v>
      </c>
      <c r="B30" s="995">
        <v>98527</v>
      </c>
      <c r="C30" s="996" t="s">
        <v>1001</v>
      </c>
      <c r="D30" s="973" t="s">
        <v>970</v>
      </c>
      <c r="E30" s="997">
        <v>167.13</v>
      </c>
      <c r="F30" s="826">
        <f t="shared" si="0"/>
        <v>213.02</v>
      </c>
      <c r="G30" s="826">
        <f>[16]Desmat!F36+[16]Desmat!F37</f>
        <v>0</v>
      </c>
      <c r="H30" s="826">
        <f t="shared" si="2"/>
        <v>0</v>
      </c>
    </row>
    <row r="31" spans="1:12" hidden="1">
      <c r="A31" s="979" t="s">
        <v>1002</v>
      </c>
      <c r="B31" s="989" t="s">
        <v>1003</v>
      </c>
      <c r="C31" s="984" t="s">
        <v>1004</v>
      </c>
      <c r="D31" s="981" t="s">
        <v>970</v>
      </c>
      <c r="E31" s="982"/>
      <c r="F31" s="822">
        <f t="shared" si="0"/>
        <v>0</v>
      </c>
      <c r="G31" s="822">
        <f>[16]SESAN!I31</f>
        <v>0</v>
      </c>
      <c r="H31" s="822">
        <f t="shared" si="2"/>
        <v>0</v>
      </c>
    </row>
    <row r="32" spans="1:12">
      <c r="A32" s="979" t="s">
        <v>1005</v>
      </c>
      <c r="B32" s="1000">
        <v>100973</v>
      </c>
      <c r="C32" s="984" t="s">
        <v>1006</v>
      </c>
      <c r="D32" s="981" t="s">
        <v>195</v>
      </c>
      <c r="E32" s="982">
        <v>9.1199999999999992</v>
      </c>
      <c r="F32" s="822">
        <f t="shared" si="0"/>
        <v>11.62</v>
      </c>
      <c r="G32" s="822">
        <f>'MC DESM'!M13</f>
        <v>1152</v>
      </c>
      <c r="H32" s="822">
        <f t="shared" si="2"/>
        <v>13386.24</v>
      </c>
    </row>
    <row r="33" spans="1:11" ht="31.5">
      <c r="A33" s="979" t="s">
        <v>1007</v>
      </c>
      <c r="B33" s="986">
        <v>97914</v>
      </c>
      <c r="C33" s="988" t="s">
        <v>1008</v>
      </c>
      <c r="D33" s="981" t="s">
        <v>1009</v>
      </c>
      <c r="E33" s="982">
        <v>2.9</v>
      </c>
      <c r="F33" s="822">
        <f t="shared" si="0"/>
        <v>3.7</v>
      </c>
      <c r="G33" s="822">
        <f>'MC DESM'!N13</f>
        <v>14676.48</v>
      </c>
      <c r="H33" s="822">
        <f t="shared" si="2"/>
        <v>54302.98</v>
      </c>
    </row>
    <row r="34" spans="1:11">
      <c r="A34" s="985" t="s">
        <v>1010</v>
      </c>
      <c r="B34" s="989"/>
      <c r="C34" s="992" t="s">
        <v>1553</v>
      </c>
      <c r="D34" s="981"/>
      <c r="E34" s="982"/>
      <c r="F34" s="822">
        <f t="shared" si="0"/>
        <v>0</v>
      </c>
      <c r="G34" s="822"/>
      <c r="H34" s="822">
        <f t="shared" si="2"/>
        <v>0</v>
      </c>
    </row>
    <row r="35" spans="1:11">
      <c r="A35" s="979" t="s">
        <v>1011</v>
      </c>
      <c r="B35" s="990" t="s">
        <v>1012</v>
      </c>
      <c r="C35" s="984" t="s">
        <v>1013</v>
      </c>
      <c r="D35" s="981" t="s">
        <v>195</v>
      </c>
      <c r="E35" s="982">
        <f>Composição4!F37</f>
        <v>38.369999999999997</v>
      </c>
      <c r="F35" s="822">
        <f t="shared" si="0"/>
        <v>48.91</v>
      </c>
      <c r="G35" s="822">
        <f>'MC TERR'!O40</f>
        <v>2304</v>
      </c>
      <c r="H35" s="822">
        <f t="shared" si="2"/>
        <v>112688.64</v>
      </c>
    </row>
    <row r="36" spans="1:11">
      <c r="A36" s="979" t="s">
        <v>1014</v>
      </c>
      <c r="B36" s="990" t="s">
        <v>1015</v>
      </c>
      <c r="C36" s="984" t="s">
        <v>1016</v>
      </c>
      <c r="D36" s="981" t="s">
        <v>195</v>
      </c>
      <c r="E36" s="982">
        <f>Composição5!F39</f>
        <v>26.14</v>
      </c>
      <c r="F36" s="822">
        <f t="shared" si="0"/>
        <v>33.32</v>
      </c>
      <c r="G36" s="822">
        <f>'MC TERR'!N40</f>
        <v>3369.28</v>
      </c>
      <c r="H36" s="822">
        <f t="shared" si="2"/>
        <v>112264.41</v>
      </c>
    </row>
    <row r="37" spans="1:11" ht="31.5">
      <c r="A37" s="979" t="s">
        <v>1017</v>
      </c>
      <c r="B37" s="986">
        <v>97914</v>
      </c>
      <c r="C37" s="988" t="s">
        <v>1008</v>
      </c>
      <c r="D37" s="981" t="s">
        <v>1009</v>
      </c>
      <c r="E37" s="982">
        <f>E33</f>
        <v>2.9</v>
      </c>
      <c r="F37" s="822">
        <f t="shared" si="0"/>
        <v>3.7</v>
      </c>
      <c r="G37" s="822">
        <f>'MC TERR'!P40</f>
        <v>72277.600000000006</v>
      </c>
      <c r="H37" s="822">
        <f t="shared" si="2"/>
        <v>267427.12</v>
      </c>
    </row>
    <row r="38" spans="1:11">
      <c r="A38" s="985" t="s">
        <v>1018</v>
      </c>
      <c r="B38" s="989"/>
      <c r="C38" s="992" t="s">
        <v>1019</v>
      </c>
      <c r="D38" s="998"/>
      <c r="E38" s="993"/>
      <c r="F38" s="822"/>
      <c r="G38" s="822"/>
      <c r="H38" s="822">
        <f t="shared" si="2"/>
        <v>0</v>
      </c>
    </row>
    <row r="39" spans="1:11">
      <c r="A39" s="979" t="s">
        <v>1020</v>
      </c>
      <c r="B39" s="1000">
        <v>94327</v>
      </c>
      <c r="C39" s="984" t="s">
        <v>1021</v>
      </c>
      <c r="D39" s="981" t="s">
        <v>195</v>
      </c>
      <c r="E39" s="982">
        <v>84.55</v>
      </c>
      <c r="F39" s="822">
        <f t="shared" si="0"/>
        <v>107.77</v>
      </c>
      <c r="G39" s="822">
        <f>'MC TERR'!Q40</f>
        <v>796.8</v>
      </c>
      <c r="H39" s="822">
        <f>ROUND(G39*F39,2)</f>
        <v>85871.14</v>
      </c>
    </row>
    <row r="40" spans="1:11" ht="31.5">
      <c r="A40" s="979" t="s">
        <v>1022</v>
      </c>
      <c r="B40" s="1000">
        <v>95877</v>
      </c>
      <c r="C40" s="984" t="s">
        <v>1023</v>
      </c>
      <c r="D40" s="981" t="s">
        <v>1009</v>
      </c>
      <c r="E40" s="982">
        <v>1.83</v>
      </c>
      <c r="F40" s="822">
        <f t="shared" si="0"/>
        <v>2.33</v>
      </c>
      <c r="G40" s="822">
        <f>'MC TERR'!R40</f>
        <v>31075.200000000001</v>
      </c>
      <c r="H40" s="822">
        <f t="shared" si="2"/>
        <v>72405.22</v>
      </c>
    </row>
    <row r="41" spans="1:11" ht="31.5">
      <c r="A41" s="979" t="s">
        <v>1024</v>
      </c>
      <c r="B41" s="1000">
        <v>93590</v>
      </c>
      <c r="C41" s="988" t="s">
        <v>1025</v>
      </c>
      <c r="D41" s="982" t="s">
        <v>1009</v>
      </c>
      <c r="E41" s="982">
        <v>0.96</v>
      </c>
      <c r="F41" s="822">
        <f t="shared" si="0"/>
        <v>1.22</v>
      </c>
      <c r="G41" s="822">
        <f>'MC TERR'!S40</f>
        <v>7665.28</v>
      </c>
      <c r="H41" s="822">
        <f t="shared" si="2"/>
        <v>9351.64</v>
      </c>
    </row>
    <row r="42" spans="1:11" ht="31.5">
      <c r="A42" s="979" t="s">
        <v>1026</v>
      </c>
      <c r="B42" s="1000">
        <v>101125</v>
      </c>
      <c r="C42" s="988" t="s">
        <v>1027</v>
      </c>
      <c r="D42" s="981" t="s">
        <v>195</v>
      </c>
      <c r="E42" s="982">
        <v>14.54</v>
      </c>
      <c r="F42" s="822">
        <f t="shared" si="0"/>
        <v>18.53</v>
      </c>
      <c r="G42" s="822">
        <f>'MC TERR'!T40</f>
        <v>6470.08</v>
      </c>
      <c r="H42" s="822">
        <f t="shared" si="2"/>
        <v>119890.58</v>
      </c>
    </row>
    <row r="43" spans="1:11">
      <c r="A43" s="979" t="s">
        <v>1028</v>
      </c>
      <c r="B43" s="1000">
        <v>6079</v>
      </c>
      <c r="C43" s="988" t="s">
        <v>521</v>
      </c>
      <c r="D43" s="981" t="s">
        <v>195</v>
      </c>
      <c r="E43" s="824">
        <v>37.35</v>
      </c>
      <c r="F43" s="822">
        <f t="shared" si="0"/>
        <v>47.61</v>
      </c>
      <c r="G43" s="822">
        <f>G42</f>
        <v>6470.08</v>
      </c>
      <c r="H43" s="822">
        <f t="shared" si="2"/>
        <v>308040.51</v>
      </c>
    </row>
    <row r="44" spans="1:11" ht="31.5">
      <c r="A44" s="979" t="s">
        <v>1029</v>
      </c>
      <c r="B44" s="1000">
        <v>95877</v>
      </c>
      <c r="C44" s="988" t="s">
        <v>1023</v>
      </c>
      <c r="D44" s="981" t="s">
        <v>1009</v>
      </c>
      <c r="E44" s="982">
        <f>E40</f>
        <v>1.83</v>
      </c>
      <c r="F44" s="822">
        <f t="shared" si="0"/>
        <v>2.33</v>
      </c>
      <c r="G44" s="822">
        <f>'MC TERR'!U40</f>
        <v>252333.12</v>
      </c>
      <c r="H44" s="822">
        <f t="shared" si="2"/>
        <v>587936.17000000004</v>
      </c>
    </row>
    <row r="45" spans="1:11" ht="31.5">
      <c r="A45" s="979" t="s">
        <v>1030</v>
      </c>
      <c r="B45" s="1000">
        <v>93590</v>
      </c>
      <c r="C45" s="988" t="s">
        <v>1025</v>
      </c>
      <c r="D45" s="982" t="s">
        <v>1009</v>
      </c>
      <c r="E45" s="982">
        <f>E41</f>
        <v>0.96</v>
      </c>
      <c r="F45" s="822">
        <f t="shared" si="0"/>
        <v>1.22</v>
      </c>
      <c r="G45" s="822">
        <f>'MC TERR'!V40</f>
        <v>62242.239999999998</v>
      </c>
      <c r="H45" s="822">
        <f t="shared" si="2"/>
        <v>75935.53</v>
      </c>
    </row>
    <row r="46" spans="1:11" ht="31.5">
      <c r="A46" s="979" t="s">
        <v>1031</v>
      </c>
      <c r="B46" s="1000">
        <v>96385</v>
      </c>
      <c r="C46" s="988" t="s">
        <v>1032</v>
      </c>
      <c r="D46" s="981" t="s">
        <v>195</v>
      </c>
      <c r="E46" s="982">
        <v>11.39</v>
      </c>
      <c r="F46" s="822">
        <f t="shared" si="0"/>
        <v>14.52</v>
      </c>
      <c r="G46" s="822">
        <f>'MC TERR'!T40</f>
        <v>6470.08</v>
      </c>
      <c r="H46" s="822">
        <f t="shared" si="2"/>
        <v>93945.56</v>
      </c>
      <c r="J46" s="960">
        <v>2218585.08</v>
      </c>
      <c r="K46" s="999" t="e">
        <f>J47/J46</f>
        <v>#REF!</v>
      </c>
    </row>
    <row r="47" spans="1:11" ht="16.149999999999999" customHeight="1">
      <c r="A47" s="979" t="s">
        <v>1033</v>
      </c>
      <c r="B47" s="990" t="s">
        <v>1034</v>
      </c>
      <c r="C47" s="988" t="s">
        <v>1035</v>
      </c>
      <c r="D47" s="981" t="s">
        <v>195</v>
      </c>
      <c r="E47" s="982">
        <f>Composição6!F36</f>
        <v>473.86</v>
      </c>
      <c r="F47" s="822">
        <f t="shared" si="0"/>
        <v>603.98</v>
      </c>
      <c r="G47" s="822">
        <f>'MC TERR'!W40</f>
        <v>384</v>
      </c>
      <c r="H47" s="822">
        <f t="shared" si="2"/>
        <v>231928.32000000001</v>
      </c>
      <c r="J47" s="958" t="e">
        <f>J46-#REF!</f>
        <v>#REF!</v>
      </c>
    </row>
    <row r="48" spans="1:11" ht="16.149999999999999" customHeight="1">
      <c r="A48" s="979" t="s">
        <v>1036</v>
      </c>
      <c r="B48" s="985" t="s">
        <v>1037</v>
      </c>
      <c r="C48" s="988" t="s">
        <v>1038</v>
      </c>
      <c r="D48" s="981" t="s">
        <v>504</v>
      </c>
      <c r="E48" s="982">
        <v>824.87</v>
      </c>
      <c r="F48" s="822">
        <f t="shared" si="0"/>
        <v>1051.3800000000001</v>
      </c>
      <c r="G48" s="822">
        <f>20*7</f>
        <v>140</v>
      </c>
      <c r="H48" s="822">
        <f t="shared" si="2"/>
        <v>147193.20000000001</v>
      </c>
    </row>
    <row r="49" spans="1:8" ht="16.149999999999999" customHeight="1">
      <c r="A49" s="1405" t="s">
        <v>1666</v>
      </c>
      <c r="B49" s="1406"/>
      <c r="C49" s="1407" t="s">
        <v>1685</v>
      </c>
      <c r="D49" s="1408"/>
      <c r="E49" s="824"/>
      <c r="F49" s="822"/>
      <c r="G49" s="825"/>
      <c r="H49" s="1409">
        <f>SUBTOTAL(9,H50:H74)</f>
        <v>546843.88</v>
      </c>
    </row>
    <row r="50" spans="1:8" ht="47.25">
      <c r="A50" s="1410" t="s">
        <v>9</v>
      </c>
      <c r="B50" s="1423">
        <v>92743</v>
      </c>
      <c r="C50" s="1411" t="s">
        <v>1667</v>
      </c>
      <c r="D50" s="1408" t="s">
        <v>195</v>
      </c>
      <c r="E50" s="1412">
        <v>871.97</v>
      </c>
      <c r="F50" s="822">
        <f t="shared" ref="F50:F54" si="3">ROUND(E50*(1+$F$6),2)</f>
        <v>1111.4100000000001</v>
      </c>
      <c r="G50" s="822">
        <f>'MC TERR'!AA40</f>
        <v>16</v>
      </c>
      <c r="H50" s="822">
        <f t="shared" ref="H50:H54" si="4">ROUND(G50*F50,2)</f>
        <v>17782.560000000001</v>
      </c>
    </row>
    <row r="51" spans="1:8" ht="47.25">
      <c r="A51" s="1410" t="s">
        <v>28</v>
      </c>
      <c r="B51" s="1424">
        <v>92756</v>
      </c>
      <c r="C51" s="1411" t="s">
        <v>1668</v>
      </c>
      <c r="D51" s="1408" t="s">
        <v>280</v>
      </c>
      <c r="E51" s="824">
        <v>347.08</v>
      </c>
      <c r="F51" s="822">
        <f t="shared" si="3"/>
        <v>442.39</v>
      </c>
      <c r="G51" s="822">
        <f>'MC TERR'!AB40</f>
        <v>101.76</v>
      </c>
      <c r="H51" s="822">
        <f t="shared" si="4"/>
        <v>45017.61</v>
      </c>
    </row>
    <row r="52" spans="1:8">
      <c r="A52" s="1410" t="s">
        <v>1669</v>
      </c>
      <c r="B52" s="1424">
        <v>3312</v>
      </c>
      <c r="C52" s="1411" t="s">
        <v>1670</v>
      </c>
      <c r="D52" s="1408" t="s">
        <v>282</v>
      </c>
      <c r="E52" s="822">
        <v>30.42</v>
      </c>
      <c r="F52" s="822">
        <f t="shared" si="3"/>
        <v>38.770000000000003</v>
      </c>
      <c r="G52" s="822">
        <f>'MC TERR'!AD46</f>
        <v>285.87</v>
      </c>
      <c r="H52" s="822">
        <f t="shared" si="4"/>
        <v>11083.18</v>
      </c>
    </row>
    <row r="53" spans="1:8" ht="31.5">
      <c r="A53" s="1410" t="s">
        <v>1671</v>
      </c>
      <c r="B53" s="1424">
        <v>95877</v>
      </c>
      <c r="C53" s="1411" t="s">
        <v>1111</v>
      </c>
      <c r="D53" s="1408" t="s">
        <v>1112</v>
      </c>
      <c r="E53" s="982">
        <v>1.83</v>
      </c>
      <c r="F53" s="822">
        <f t="shared" si="3"/>
        <v>2.33</v>
      </c>
      <c r="G53" s="822">
        <f>'MC TERR'!AF46</f>
        <v>5318.4</v>
      </c>
      <c r="H53" s="822">
        <f t="shared" si="4"/>
        <v>12391.87</v>
      </c>
    </row>
    <row r="54" spans="1:8" ht="31.5">
      <c r="A54" s="1410" t="s">
        <v>1672</v>
      </c>
      <c r="B54" s="1424">
        <v>93590</v>
      </c>
      <c r="C54" s="1411" t="s">
        <v>1025</v>
      </c>
      <c r="D54" s="1408" t="s">
        <v>1009</v>
      </c>
      <c r="E54" s="982">
        <v>0.96</v>
      </c>
      <c r="F54" s="822">
        <f t="shared" si="3"/>
        <v>1.22</v>
      </c>
      <c r="G54" s="822">
        <f>'MC TERR'!AG46</f>
        <v>27832.959999999999</v>
      </c>
      <c r="H54" s="822">
        <f t="shared" si="4"/>
        <v>33956.21</v>
      </c>
    </row>
    <row r="55" spans="1:8" ht="31.5">
      <c r="A55" s="1410" t="s">
        <v>1673</v>
      </c>
      <c r="B55" s="990" t="s">
        <v>990</v>
      </c>
      <c r="C55" s="1411" t="s">
        <v>1687</v>
      </c>
      <c r="D55" s="1408" t="s">
        <v>195</v>
      </c>
      <c r="E55" s="1412">
        <f>Composição7!F37</f>
        <v>598.61</v>
      </c>
      <c r="F55" s="822">
        <f t="shared" ref="F55:F56" si="5">ROUND(E55*(1+$F$6),2)</f>
        <v>762.99</v>
      </c>
      <c r="G55" s="822">
        <f>'MC TERR'!AA45</f>
        <v>56</v>
      </c>
      <c r="H55" s="822">
        <f t="shared" ref="H55:H56" si="6">ROUND(G55*F55,2)</f>
        <v>42727.44</v>
      </c>
    </row>
    <row r="56" spans="1:8" ht="31.5">
      <c r="A56" s="1410" t="s">
        <v>1686</v>
      </c>
      <c r="B56" s="990" t="s">
        <v>1712</v>
      </c>
      <c r="C56" s="1411" t="s">
        <v>1688</v>
      </c>
      <c r="D56" s="1408" t="s">
        <v>280</v>
      </c>
      <c r="E56" s="1412">
        <f>Composição8!F37</f>
        <v>244.15</v>
      </c>
      <c r="F56" s="822">
        <f t="shared" si="5"/>
        <v>311.19</v>
      </c>
      <c r="G56" s="822">
        <f>'MC TERR'!AB45</f>
        <v>356.16</v>
      </c>
      <c r="H56" s="822">
        <f t="shared" si="6"/>
        <v>110833.43</v>
      </c>
    </row>
    <row r="57" spans="1:8" ht="31.5">
      <c r="A57" s="1413" t="s">
        <v>1673</v>
      </c>
      <c r="B57" s="1414"/>
      <c r="C57" s="1415" t="s">
        <v>1674</v>
      </c>
      <c r="D57" s="1408"/>
      <c r="E57" s="1412"/>
      <c r="F57" s="822"/>
      <c r="G57" s="1412"/>
      <c r="H57" s="1412"/>
    </row>
    <row r="58" spans="1:8" ht="31.5">
      <c r="A58" s="1410" t="s">
        <v>1675</v>
      </c>
      <c r="B58" s="1424">
        <v>90106</v>
      </c>
      <c r="C58" s="1411" t="s">
        <v>1676</v>
      </c>
      <c r="D58" s="1408" t="s">
        <v>195</v>
      </c>
      <c r="E58" s="824">
        <v>7.45</v>
      </c>
      <c r="F58" s="822">
        <f t="shared" ref="F58:F65" si="7">ROUND(E58*(1+$F$6),2)</f>
        <v>9.5</v>
      </c>
      <c r="G58" s="1412">
        <f>1*1.5*'MC TERR'!F46*2</f>
        <v>1128</v>
      </c>
      <c r="H58" s="822">
        <f>ROUND(G58*F58,2)</f>
        <v>10716</v>
      </c>
    </row>
    <row r="59" spans="1:8" ht="31.5">
      <c r="A59" s="1410" t="s">
        <v>1677</v>
      </c>
      <c r="B59" s="1424">
        <v>4413984</v>
      </c>
      <c r="C59" s="1416" t="s">
        <v>1678</v>
      </c>
      <c r="D59" s="1408" t="s">
        <v>195</v>
      </c>
      <c r="E59" s="824">
        <v>3.95</v>
      </c>
      <c r="F59" s="822">
        <f t="shared" si="7"/>
        <v>5.03</v>
      </c>
      <c r="G59" s="1412">
        <f>G58</f>
        <v>1128</v>
      </c>
      <c r="H59" s="822">
        <f t="shared" ref="H59:H65" si="8">ROUND(G59*F59,2)</f>
        <v>5673.84</v>
      </c>
    </row>
    <row r="60" spans="1:8" ht="31.5">
      <c r="A60" s="1410" t="s">
        <v>1679</v>
      </c>
      <c r="B60" s="1424">
        <v>90106</v>
      </c>
      <c r="C60" s="1411" t="s">
        <v>1680</v>
      </c>
      <c r="D60" s="1408" t="s">
        <v>195</v>
      </c>
      <c r="E60" s="824">
        <f>E58</f>
        <v>7.45</v>
      </c>
      <c r="F60" s="822">
        <f t="shared" si="7"/>
        <v>9.5</v>
      </c>
      <c r="G60" s="1412">
        <f>G59</f>
        <v>1128</v>
      </c>
      <c r="H60" s="822">
        <f t="shared" si="8"/>
        <v>10716</v>
      </c>
    </row>
    <row r="61" spans="1:8">
      <c r="A61" s="1410" t="s">
        <v>1681</v>
      </c>
      <c r="B61" s="1424">
        <v>100973</v>
      </c>
      <c r="C61" s="1416" t="s">
        <v>1006</v>
      </c>
      <c r="D61" s="1408" t="s">
        <v>195</v>
      </c>
      <c r="E61" s="1412">
        <v>9.1199999999999992</v>
      </c>
      <c r="F61" s="822">
        <f t="shared" si="7"/>
        <v>11.62</v>
      </c>
      <c r="G61" s="1412">
        <f>G60</f>
        <v>1128</v>
      </c>
      <c r="H61" s="822">
        <f>ROUND(G61*F61,2)</f>
        <v>13107.36</v>
      </c>
    </row>
    <row r="62" spans="1:8" ht="31.5">
      <c r="A62" s="1410" t="s">
        <v>1682</v>
      </c>
      <c r="B62" s="1423">
        <v>97914</v>
      </c>
      <c r="C62" s="1411" t="s">
        <v>1008</v>
      </c>
      <c r="D62" s="1408" t="s">
        <v>1009</v>
      </c>
      <c r="E62" s="1412">
        <v>2.9</v>
      </c>
      <c r="F62" s="822">
        <f t="shared" si="7"/>
        <v>3.7</v>
      </c>
      <c r="G62" s="1412">
        <f>G61*1.3*9.8</f>
        <v>14370.72</v>
      </c>
      <c r="H62" s="822">
        <f t="shared" si="8"/>
        <v>53171.66</v>
      </c>
    </row>
    <row r="63" spans="1:8">
      <c r="A63" s="1410" t="s">
        <v>1683</v>
      </c>
      <c r="B63" s="1406">
        <v>4413985</v>
      </c>
      <c r="C63" s="1416" t="s">
        <v>1684</v>
      </c>
      <c r="D63" s="1408" t="s">
        <v>280</v>
      </c>
      <c r="E63" s="1412">
        <v>22.57</v>
      </c>
      <c r="F63" s="822">
        <f t="shared" si="7"/>
        <v>28.77</v>
      </c>
      <c r="G63" s="1412">
        <f>'MC TERR'!AC46</f>
        <v>4098.3999999999996</v>
      </c>
      <c r="H63" s="822">
        <f t="shared" si="8"/>
        <v>117910.97</v>
      </c>
    </row>
    <row r="64" spans="1:8">
      <c r="A64" s="1410" t="s">
        <v>1710</v>
      </c>
      <c r="B64" s="1000">
        <v>2003385</v>
      </c>
      <c r="C64" s="984" t="s">
        <v>1103</v>
      </c>
      <c r="D64" s="981" t="s">
        <v>729</v>
      </c>
      <c r="E64" s="824">
        <v>73.540000000000006</v>
      </c>
      <c r="F64" s="822">
        <f t="shared" si="7"/>
        <v>93.73</v>
      </c>
      <c r="G64" s="822">
        <v>50</v>
      </c>
      <c r="H64" s="822">
        <f t="shared" si="8"/>
        <v>4686.5</v>
      </c>
    </row>
    <row r="65" spans="1:8">
      <c r="A65" s="1410" t="s">
        <v>1711</v>
      </c>
      <c r="B65" s="1000">
        <v>2003405</v>
      </c>
      <c r="C65" s="984" t="s">
        <v>1105</v>
      </c>
      <c r="D65" s="981" t="s">
        <v>504</v>
      </c>
      <c r="E65" s="824">
        <v>255.85</v>
      </c>
      <c r="F65" s="822">
        <f t="shared" si="7"/>
        <v>326.11</v>
      </c>
      <c r="G65" s="822">
        <f>G64*3.5</f>
        <v>175</v>
      </c>
      <c r="H65" s="822">
        <f t="shared" si="8"/>
        <v>57069.25</v>
      </c>
    </row>
    <row r="66" spans="1:8" hidden="1">
      <c r="A66" s="1410"/>
      <c r="B66" s="1406"/>
      <c r="C66" s="1411"/>
      <c r="D66" s="1408"/>
      <c r="E66" s="1412"/>
      <c r="F66" s="822"/>
      <c r="G66" s="822"/>
      <c r="H66" s="822"/>
    </row>
    <row r="67" spans="1:8" hidden="1">
      <c r="A67" s="1410"/>
      <c r="B67" s="1406"/>
      <c r="C67" s="1411"/>
      <c r="D67" s="1408"/>
      <c r="E67" s="1412"/>
      <c r="F67" s="822"/>
      <c r="G67" s="822"/>
      <c r="H67" s="822"/>
    </row>
    <row r="68" spans="1:8" ht="16.149999999999999" hidden="1" customHeight="1">
      <c r="A68" s="979"/>
      <c r="B68" s="979"/>
      <c r="C68" s="988"/>
      <c r="D68" s="981"/>
      <c r="E68" s="982"/>
      <c r="F68" s="822"/>
      <c r="G68" s="822"/>
      <c r="H68" s="822"/>
    </row>
    <row r="69" spans="1:8" hidden="1">
      <c r="A69" s="985" t="s">
        <v>1039</v>
      </c>
      <c r="B69" s="1000"/>
      <c r="C69" s="992" t="s">
        <v>1040</v>
      </c>
      <c r="D69" s="981"/>
      <c r="E69" s="982"/>
      <c r="F69" s="822"/>
      <c r="G69" s="825"/>
      <c r="H69" s="993">
        <f>SUBTOTAL(9,H70:H78)</f>
        <v>0</v>
      </c>
    </row>
    <row r="70" spans="1:8" ht="15.75" hidden="1" customHeight="1">
      <c r="A70" s="985" t="s">
        <v>31</v>
      </c>
      <c r="B70" s="1000"/>
      <c r="C70" s="987" t="s">
        <v>1041</v>
      </c>
      <c r="D70" s="981"/>
      <c r="E70" s="824"/>
      <c r="F70" s="822"/>
      <c r="G70" s="822"/>
      <c r="H70" s="822"/>
    </row>
    <row r="71" spans="1:8" ht="31.5" hidden="1">
      <c r="A71" s="979" t="s">
        <v>376</v>
      </c>
      <c r="B71" s="994">
        <v>92421</v>
      </c>
      <c r="C71" s="988" t="s">
        <v>1042</v>
      </c>
      <c r="D71" s="1001" t="s">
        <v>766</v>
      </c>
      <c r="E71" s="824">
        <v>102.07</v>
      </c>
      <c r="F71" s="822">
        <f t="shared" si="0"/>
        <v>130.1</v>
      </c>
      <c r="G71" s="822"/>
      <c r="H71" s="822">
        <f t="shared" ref="H71:H78" si="9">ROUND(G71*F71,2)</f>
        <v>0</v>
      </c>
    </row>
    <row r="72" spans="1:8" ht="31.5" hidden="1">
      <c r="A72" s="979" t="s">
        <v>377</v>
      </c>
      <c r="B72" s="994">
        <v>92915</v>
      </c>
      <c r="C72" s="988" t="s">
        <v>1043</v>
      </c>
      <c r="D72" s="981" t="s">
        <v>791</v>
      </c>
      <c r="E72" s="824">
        <v>17.05</v>
      </c>
      <c r="F72" s="822">
        <f t="shared" si="0"/>
        <v>21.73</v>
      </c>
      <c r="G72" s="822"/>
      <c r="H72" s="822">
        <f t="shared" si="9"/>
        <v>0</v>
      </c>
    </row>
    <row r="73" spans="1:8" ht="47.25" hidden="1">
      <c r="A73" s="972" t="s">
        <v>378</v>
      </c>
      <c r="B73" s="1002">
        <v>103669</v>
      </c>
      <c r="C73" s="996" t="s">
        <v>1044</v>
      </c>
      <c r="D73" s="973" t="s">
        <v>1045</v>
      </c>
      <c r="E73" s="997">
        <v>1108.0999999999999</v>
      </c>
      <c r="F73" s="826">
        <f t="shared" si="0"/>
        <v>1412.38</v>
      </c>
      <c r="G73" s="826"/>
      <c r="H73" s="826">
        <f t="shared" si="9"/>
        <v>0</v>
      </c>
    </row>
    <row r="74" spans="1:8" ht="47.25" hidden="1">
      <c r="A74" s="979" t="s">
        <v>32</v>
      </c>
      <c r="B74" s="994">
        <v>94273</v>
      </c>
      <c r="C74" s="984" t="s">
        <v>1046</v>
      </c>
      <c r="D74" s="981" t="s">
        <v>504</v>
      </c>
      <c r="E74" s="982">
        <v>49.14</v>
      </c>
      <c r="F74" s="822">
        <f t="shared" si="0"/>
        <v>62.63</v>
      </c>
      <c r="G74" s="822"/>
      <c r="H74" s="822">
        <f t="shared" si="9"/>
        <v>0</v>
      </c>
    </row>
    <row r="75" spans="1:8" ht="47.25" hidden="1">
      <c r="A75" s="979" t="s">
        <v>33</v>
      </c>
      <c r="B75" s="994">
        <v>94274</v>
      </c>
      <c r="C75" s="984" t="s">
        <v>1047</v>
      </c>
      <c r="D75" s="981" t="s">
        <v>504</v>
      </c>
      <c r="E75" s="824">
        <v>52.98</v>
      </c>
      <c r="F75" s="822">
        <f t="shared" si="0"/>
        <v>67.53</v>
      </c>
      <c r="G75" s="822"/>
      <c r="H75" s="822">
        <f t="shared" si="9"/>
        <v>0</v>
      </c>
    </row>
    <row r="76" spans="1:8" ht="31.5" hidden="1">
      <c r="A76" s="979" t="s">
        <v>303</v>
      </c>
      <c r="B76" s="994">
        <v>94283</v>
      </c>
      <c r="C76" s="988" t="s">
        <v>1048</v>
      </c>
      <c r="D76" s="981" t="s">
        <v>504</v>
      </c>
      <c r="E76" s="824">
        <v>82.95</v>
      </c>
      <c r="F76" s="822">
        <f t="shared" si="0"/>
        <v>105.73</v>
      </c>
      <c r="G76" s="822"/>
      <c r="H76" s="822">
        <f t="shared" si="9"/>
        <v>0</v>
      </c>
    </row>
    <row r="77" spans="1:8" ht="31.5" hidden="1">
      <c r="A77" s="979" t="s">
        <v>404</v>
      </c>
      <c r="B77" s="994">
        <v>94284</v>
      </c>
      <c r="C77" s="988" t="s">
        <v>1049</v>
      </c>
      <c r="D77" s="981" t="s">
        <v>504</v>
      </c>
      <c r="E77" s="824">
        <v>94.64</v>
      </c>
      <c r="F77" s="822">
        <f t="shared" si="0"/>
        <v>120.63</v>
      </c>
      <c r="G77" s="822"/>
      <c r="H77" s="822">
        <f t="shared" si="9"/>
        <v>0</v>
      </c>
    </row>
    <row r="78" spans="1:8" ht="31.5" hidden="1">
      <c r="A78" s="979" t="s">
        <v>412</v>
      </c>
      <c r="B78" s="994">
        <v>94990</v>
      </c>
      <c r="C78" s="984" t="s">
        <v>1050</v>
      </c>
      <c r="D78" s="981" t="s">
        <v>195</v>
      </c>
      <c r="E78" s="982">
        <v>923.01</v>
      </c>
      <c r="F78" s="822">
        <f t="shared" si="0"/>
        <v>1176.47</v>
      </c>
      <c r="G78" s="822"/>
      <c r="H78" s="822">
        <f t="shared" si="9"/>
        <v>0</v>
      </c>
    </row>
    <row r="79" spans="1:8" hidden="1">
      <c r="A79" s="985" t="s">
        <v>1051</v>
      </c>
      <c r="B79" s="994"/>
      <c r="C79" s="992" t="s">
        <v>1554</v>
      </c>
      <c r="D79" s="981"/>
      <c r="E79" s="824"/>
      <c r="F79" s="822"/>
      <c r="G79" s="825"/>
      <c r="H79" s="993">
        <f>SUBTOTAL(9,H80:H113)</f>
        <v>0</v>
      </c>
    </row>
    <row r="80" spans="1:8" hidden="1">
      <c r="A80" s="985" t="s">
        <v>13</v>
      </c>
      <c r="B80" s="1000"/>
      <c r="C80" s="992" t="s">
        <v>1052</v>
      </c>
      <c r="D80" s="981"/>
      <c r="E80" s="824"/>
      <c r="F80" s="822"/>
      <c r="G80" s="824"/>
      <c r="H80" s="825"/>
    </row>
    <row r="81" spans="1:8" hidden="1">
      <c r="A81" s="979" t="s">
        <v>13</v>
      </c>
      <c r="B81" s="994">
        <v>90106</v>
      </c>
      <c r="C81" s="980" t="s">
        <v>1053</v>
      </c>
      <c r="D81" s="981" t="s">
        <v>195</v>
      </c>
      <c r="E81" s="824">
        <v>7.22</v>
      </c>
      <c r="F81" s="822">
        <f t="shared" si="0"/>
        <v>9.1999999999999993</v>
      </c>
      <c r="G81" s="824">
        <f>G80*9*(1+0.6)*2.6</f>
        <v>0</v>
      </c>
      <c r="H81" s="822">
        <f t="shared" ref="H81:H113" si="10">ROUND(G81*F81,2)</f>
        <v>0</v>
      </c>
    </row>
    <row r="82" spans="1:8" ht="31.5" hidden="1">
      <c r="A82" s="979" t="s">
        <v>1054</v>
      </c>
      <c r="B82" s="994" t="s">
        <v>1015</v>
      </c>
      <c r="C82" s="984" t="s">
        <v>1016</v>
      </c>
      <c r="D82" s="981" t="s">
        <v>195</v>
      </c>
      <c r="E82" s="982">
        <f>E36</f>
        <v>26.14</v>
      </c>
      <c r="F82" s="822">
        <f t="shared" si="0"/>
        <v>33.32</v>
      </c>
      <c r="G82" s="824">
        <f>'MC D'!M177</f>
        <v>0</v>
      </c>
      <c r="H82" s="822">
        <f t="shared" si="10"/>
        <v>0</v>
      </c>
    </row>
    <row r="83" spans="1:8" hidden="1">
      <c r="A83" s="979" t="s">
        <v>1055</v>
      </c>
      <c r="B83" s="994">
        <v>100973</v>
      </c>
      <c r="C83" s="984" t="s">
        <v>1006</v>
      </c>
      <c r="D83" s="981" t="s">
        <v>195</v>
      </c>
      <c r="E83" s="982">
        <v>8.9700000000000006</v>
      </c>
      <c r="F83" s="822">
        <f>ROUND(E83*(1+$F$6),2)</f>
        <v>11.43</v>
      </c>
      <c r="G83" s="824">
        <f>'MC D'!Y177</f>
        <v>0</v>
      </c>
      <c r="H83" s="822">
        <f>ROUND(G83*F83,2)</f>
        <v>0</v>
      </c>
    </row>
    <row r="84" spans="1:8" ht="31.5" hidden="1">
      <c r="A84" s="979" t="s">
        <v>1056</v>
      </c>
      <c r="B84" s="995">
        <v>97914</v>
      </c>
      <c r="C84" s="1003" t="s">
        <v>1008</v>
      </c>
      <c r="D84" s="973" t="s">
        <v>1009</v>
      </c>
      <c r="E84" s="997">
        <v>2.85</v>
      </c>
      <c r="F84" s="826">
        <f>ROUND(E84*(1+$F$6),2)</f>
        <v>3.63</v>
      </c>
      <c r="G84" s="827">
        <f>'MC D'!Z177</f>
        <v>0</v>
      </c>
      <c r="H84" s="826">
        <f>ROUND(G84*F84,2)</f>
        <v>0</v>
      </c>
    </row>
    <row r="85" spans="1:8" ht="31.5" hidden="1">
      <c r="A85" s="979" t="s">
        <v>1057</v>
      </c>
      <c r="B85" s="994">
        <v>93379</v>
      </c>
      <c r="C85" s="984" t="s">
        <v>1058</v>
      </c>
      <c r="D85" s="981" t="s">
        <v>195</v>
      </c>
      <c r="E85" s="824">
        <v>17.190000000000001</v>
      </c>
      <c r="F85" s="822">
        <f>ROUND(E85*(1+$F$6),2)</f>
        <v>21.91</v>
      </c>
      <c r="G85" s="824">
        <f>'MC D'!V177</f>
        <v>0</v>
      </c>
      <c r="H85" s="822">
        <f>ROUND(G85*F85,2)</f>
        <v>0</v>
      </c>
    </row>
    <row r="86" spans="1:8" ht="31.5" hidden="1">
      <c r="A86" s="979" t="s">
        <v>1059</v>
      </c>
      <c r="B86" s="994">
        <v>101125</v>
      </c>
      <c r="C86" s="988" t="s">
        <v>1027</v>
      </c>
      <c r="D86" s="981" t="s">
        <v>195</v>
      </c>
      <c r="E86" s="982">
        <v>14.19</v>
      </c>
      <c r="F86" s="822">
        <f t="shared" ref="F86:F90" si="11">ROUND(E86*(1+$F$6),2)</f>
        <v>18.09</v>
      </c>
      <c r="G86" s="824">
        <f>'MC D'!W177</f>
        <v>0</v>
      </c>
      <c r="H86" s="822">
        <f t="shared" ref="H86:H90" si="12">ROUND(G86*F86,2)</f>
        <v>0</v>
      </c>
    </row>
    <row r="87" spans="1:8" hidden="1">
      <c r="A87" s="979" t="s">
        <v>1060</v>
      </c>
      <c r="B87" s="994">
        <v>6079</v>
      </c>
      <c r="C87" s="988" t="s">
        <v>521</v>
      </c>
      <c r="D87" s="981" t="s">
        <v>195</v>
      </c>
      <c r="E87" s="824">
        <v>36.51</v>
      </c>
      <c r="F87" s="822">
        <f t="shared" si="11"/>
        <v>46.54</v>
      </c>
      <c r="G87" s="824">
        <f>G86</f>
        <v>0</v>
      </c>
      <c r="H87" s="822">
        <f t="shared" si="12"/>
        <v>0</v>
      </c>
    </row>
    <row r="88" spans="1:8" ht="31.5" hidden="1">
      <c r="A88" s="979" t="s">
        <v>1061</v>
      </c>
      <c r="B88" s="994">
        <v>95877</v>
      </c>
      <c r="C88" s="988" t="s">
        <v>1023</v>
      </c>
      <c r="D88" s="981" t="s">
        <v>1009</v>
      </c>
      <c r="E88" s="982">
        <v>1.8</v>
      </c>
      <c r="F88" s="822">
        <f t="shared" si="11"/>
        <v>2.29</v>
      </c>
      <c r="G88" s="824">
        <f>'MC D'!AA177</f>
        <v>0</v>
      </c>
      <c r="H88" s="822">
        <f t="shared" si="12"/>
        <v>0</v>
      </c>
    </row>
    <row r="89" spans="1:8" ht="31.5" hidden="1">
      <c r="A89" s="979" t="s">
        <v>1062</v>
      </c>
      <c r="B89" s="994">
        <v>93590</v>
      </c>
      <c r="C89" s="988" t="s">
        <v>1025</v>
      </c>
      <c r="D89" s="982" t="s">
        <v>1009</v>
      </c>
      <c r="E89" s="982">
        <v>0.94</v>
      </c>
      <c r="F89" s="822">
        <f t="shared" si="11"/>
        <v>1.2</v>
      </c>
      <c r="G89" s="824">
        <f>'MC D'!AB177</f>
        <v>0</v>
      </c>
      <c r="H89" s="822">
        <f t="shared" si="12"/>
        <v>0</v>
      </c>
    </row>
    <row r="90" spans="1:8" hidden="1">
      <c r="A90" s="979" t="s">
        <v>1063</v>
      </c>
      <c r="B90" s="994">
        <v>104482</v>
      </c>
      <c r="C90" s="984" t="s">
        <v>1064</v>
      </c>
      <c r="D90" s="981" t="s">
        <v>229</v>
      </c>
      <c r="E90" s="824">
        <v>25.33</v>
      </c>
      <c r="F90" s="822">
        <f t="shared" si="11"/>
        <v>32.29</v>
      </c>
      <c r="G90" s="824">
        <f>'MC D'!AC177</f>
        <v>0</v>
      </c>
      <c r="H90" s="822">
        <f t="shared" si="12"/>
        <v>0</v>
      </c>
    </row>
    <row r="91" spans="1:8" ht="31.5" hidden="1">
      <c r="A91" s="979" t="s">
        <v>1065</v>
      </c>
      <c r="B91" s="994">
        <v>101618</v>
      </c>
      <c r="C91" s="984" t="s">
        <v>1066</v>
      </c>
      <c r="D91" s="981" t="s">
        <v>195</v>
      </c>
      <c r="E91" s="824">
        <v>218.04</v>
      </c>
      <c r="F91" s="822">
        <f>ROUND(E91*(1+$F$6),2)</f>
        <v>277.91000000000003</v>
      </c>
      <c r="G91" s="824">
        <f>'MC D'!S177</f>
        <v>0</v>
      </c>
      <c r="H91" s="822">
        <f>ROUND(G91*F91,2)</f>
        <v>0</v>
      </c>
    </row>
    <row r="92" spans="1:8" ht="31.5" hidden="1">
      <c r="A92" s="979" t="s">
        <v>1067</v>
      </c>
      <c r="B92" s="994">
        <v>101584</v>
      </c>
      <c r="C92" s="984" t="s">
        <v>1068</v>
      </c>
      <c r="D92" s="981" t="s">
        <v>280</v>
      </c>
      <c r="E92" s="824">
        <v>49.55</v>
      </c>
      <c r="F92" s="822">
        <f>ROUND(E92*(1+$F$6),2)</f>
        <v>63.16</v>
      </c>
      <c r="G92" s="824">
        <f>'MC D'!AE177</f>
        <v>0</v>
      </c>
      <c r="H92" s="822">
        <f>ROUND(G92*F92,2)</f>
        <v>0</v>
      </c>
    </row>
    <row r="93" spans="1:8" hidden="1">
      <c r="A93" s="979" t="s">
        <v>1069</v>
      </c>
      <c r="B93" s="994">
        <v>101576</v>
      </c>
      <c r="C93" s="984" t="s">
        <v>1070</v>
      </c>
      <c r="D93" s="981" t="s">
        <v>280</v>
      </c>
      <c r="E93" s="824">
        <v>35.22</v>
      </c>
      <c r="F93" s="822">
        <f t="shared" si="0"/>
        <v>44.89</v>
      </c>
      <c r="G93" s="824"/>
      <c r="H93" s="822">
        <f t="shared" si="10"/>
        <v>0</v>
      </c>
    </row>
    <row r="94" spans="1:8" hidden="1">
      <c r="A94" s="979" t="s">
        <v>1071</v>
      </c>
      <c r="B94" s="994">
        <v>180720</v>
      </c>
      <c r="C94" s="984" t="s">
        <v>1562</v>
      </c>
      <c r="D94" s="981" t="s">
        <v>504</v>
      </c>
      <c r="E94" s="824">
        <v>171.98</v>
      </c>
      <c r="F94" s="822">
        <f t="shared" si="0"/>
        <v>219.21</v>
      </c>
      <c r="G94" s="824">
        <f>'MC D'!F185</f>
        <v>0</v>
      </c>
      <c r="H94" s="822">
        <f t="shared" si="10"/>
        <v>0</v>
      </c>
    </row>
    <row r="95" spans="1:8" ht="47.25" hidden="1">
      <c r="A95" s="979" t="s">
        <v>1072</v>
      </c>
      <c r="B95" s="994" t="s">
        <v>363</v>
      </c>
      <c r="C95" s="984" t="s">
        <v>1073</v>
      </c>
      <c r="D95" s="981" t="s">
        <v>504</v>
      </c>
      <c r="E95" s="824">
        <v>63.8</v>
      </c>
      <c r="F95" s="822">
        <f t="shared" si="0"/>
        <v>81.319999999999993</v>
      </c>
      <c r="G95" s="824">
        <f>G94</f>
        <v>0</v>
      </c>
      <c r="H95" s="822">
        <f t="shared" si="10"/>
        <v>0</v>
      </c>
    </row>
    <row r="96" spans="1:8" ht="47.25" hidden="1">
      <c r="A96" s="979" t="s">
        <v>1074</v>
      </c>
      <c r="B96" s="994">
        <v>92826</v>
      </c>
      <c r="C96" s="984" t="s">
        <v>1075</v>
      </c>
      <c r="D96" s="981" t="s">
        <v>504</v>
      </c>
      <c r="E96" s="824">
        <v>124.96</v>
      </c>
      <c r="F96" s="822">
        <f t="shared" si="0"/>
        <v>159.27000000000001</v>
      </c>
      <c r="G96" s="824">
        <f>'MC D'!F188</f>
        <v>0</v>
      </c>
      <c r="H96" s="822">
        <f t="shared" si="10"/>
        <v>0</v>
      </c>
    </row>
    <row r="97" spans="1:8" ht="31.5" hidden="1">
      <c r="A97" s="979" t="s">
        <v>1076</v>
      </c>
      <c r="B97" s="994">
        <v>92216</v>
      </c>
      <c r="C97" s="984" t="s">
        <v>1077</v>
      </c>
      <c r="D97" s="981" t="s">
        <v>504</v>
      </c>
      <c r="E97" s="824">
        <v>569.66</v>
      </c>
      <c r="F97" s="822">
        <f t="shared" si="0"/>
        <v>726.09</v>
      </c>
      <c r="G97" s="824">
        <f>'MC D'!F189</f>
        <v>0</v>
      </c>
      <c r="H97" s="822">
        <f t="shared" si="10"/>
        <v>0</v>
      </c>
    </row>
    <row r="98" spans="1:8" ht="31.5" hidden="1">
      <c r="A98" s="979" t="s">
        <v>1078</v>
      </c>
      <c r="B98" s="994">
        <v>92816</v>
      </c>
      <c r="C98" s="984" t="s">
        <v>1079</v>
      </c>
      <c r="D98" s="981" t="s">
        <v>504</v>
      </c>
      <c r="E98" s="824">
        <v>818.12</v>
      </c>
      <c r="F98" s="822">
        <f t="shared" si="0"/>
        <v>1042.78</v>
      </c>
      <c r="G98" s="824">
        <f>'MC D'!F190</f>
        <v>0</v>
      </c>
      <c r="H98" s="822">
        <f t="shared" si="10"/>
        <v>0</v>
      </c>
    </row>
    <row r="99" spans="1:8" ht="31.5" hidden="1">
      <c r="A99" s="979" t="s">
        <v>1080</v>
      </c>
      <c r="B99" s="994" t="s">
        <v>218</v>
      </c>
      <c r="C99" s="984" t="s">
        <v>1081</v>
      </c>
      <c r="D99" s="981" t="s">
        <v>504</v>
      </c>
      <c r="E99" s="824">
        <v>421.21</v>
      </c>
      <c r="F99" s="822">
        <f t="shared" si="0"/>
        <v>536.87</v>
      </c>
      <c r="G99" s="824">
        <f>G96</f>
        <v>0</v>
      </c>
      <c r="H99" s="822">
        <f t="shared" si="10"/>
        <v>0</v>
      </c>
    </row>
    <row r="100" spans="1:8" ht="31.5" hidden="1">
      <c r="A100" s="979" t="s">
        <v>1082</v>
      </c>
      <c r="B100" s="994">
        <v>12575</v>
      </c>
      <c r="C100" s="984" t="s">
        <v>1083</v>
      </c>
      <c r="D100" s="981" t="s">
        <v>504</v>
      </c>
      <c r="E100" s="824">
        <v>1451.26</v>
      </c>
      <c r="F100" s="822">
        <f t="shared" si="0"/>
        <v>1849.78</v>
      </c>
      <c r="G100" s="824">
        <f>G101</f>
        <v>0</v>
      </c>
      <c r="H100" s="822">
        <f t="shared" si="10"/>
        <v>0</v>
      </c>
    </row>
    <row r="101" spans="1:8" ht="47.25" hidden="1">
      <c r="A101" s="979" t="s">
        <v>1084</v>
      </c>
      <c r="B101" s="994">
        <v>92832</v>
      </c>
      <c r="C101" s="984" t="s">
        <v>1085</v>
      </c>
      <c r="D101" s="981" t="s">
        <v>504</v>
      </c>
      <c r="E101" s="824">
        <v>271.31</v>
      </c>
      <c r="F101" s="822">
        <f t="shared" si="0"/>
        <v>345.81</v>
      </c>
      <c r="G101" s="824">
        <f>'MC D'!F191</f>
        <v>0</v>
      </c>
      <c r="H101" s="822">
        <f t="shared" si="10"/>
        <v>0</v>
      </c>
    </row>
    <row r="102" spans="1:8" ht="31.5" hidden="1">
      <c r="A102" s="979" t="s">
        <v>1086</v>
      </c>
      <c r="B102" s="994">
        <v>102751</v>
      </c>
      <c r="C102" s="984" t="s">
        <v>1087</v>
      </c>
      <c r="D102" s="981" t="s">
        <v>729</v>
      </c>
      <c r="E102" s="824">
        <v>5203.41</v>
      </c>
      <c r="F102" s="822">
        <f t="shared" si="0"/>
        <v>6632.27</v>
      </c>
      <c r="G102" s="824">
        <f>ROUND($G$80*2*20%,)</f>
        <v>0</v>
      </c>
      <c r="H102" s="822">
        <f t="shared" si="10"/>
        <v>0</v>
      </c>
    </row>
    <row r="103" spans="1:8" ht="31.5" hidden="1">
      <c r="A103" s="979" t="s">
        <v>1088</v>
      </c>
      <c r="B103" s="994">
        <v>102752</v>
      </c>
      <c r="C103" s="984" t="s">
        <v>1089</v>
      </c>
      <c r="D103" s="981" t="s">
        <v>729</v>
      </c>
      <c r="E103" s="824">
        <v>8320.15</v>
      </c>
      <c r="F103" s="822">
        <f t="shared" ref="F103:F127" si="13">ROUND(E103*(1+$F$6),2)</f>
        <v>10604.86</v>
      </c>
      <c r="G103" s="824">
        <f>ROUND($G$80*2*50%,)</f>
        <v>0</v>
      </c>
      <c r="H103" s="822">
        <f t="shared" si="10"/>
        <v>0</v>
      </c>
    </row>
    <row r="104" spans="1:8" ht="31.5" hidden="1">
      <c r="A104" s="979" t="s">
        <v>1090</v>
      </c>
      <c r="B104" s="994">
        <v>102753</v>
      </c>
      <c r="C104" s="984" t="s">
        <v>1091</v>
      </c>
      <c r="D104" s="981" t="s">
        <v>729</v>
      </c>
      <c r="E104" s="824">
        <v>12355.22</v>
      </c>
      <c r="F104" s="822">
        <f t="shared" si="13"/>
        <v>15747.96</v>
      </c>
      <c r="G104" s="824">
        <f>ROUND($G$80*2*20%,)</f>
        <v>0</v>
      </c>
      <c r="H104" s="822">
        <f t="shared" si="10"/>
        <v>0</v>
      </c>
    </row>
    <row r="105" spans="1:8" ht="31.5" hidden="1">
      <c r="A105" s="979" t="s">
        <v>1092</v>
      </c>
      <c r="B105" s="994">
        <v>102754</v>
      </c>
      <c r="C105" s="984" t="s">
        <v>1093</v>
      </c>
      <c r="D105" s="981" t="s">
        <v>729</v>
      </c>
      <c r="E105" s="824">
        <v>22768.55</v>
      </c>
      <c r="F105" s="822">
        <f t="shared" si="13"/>
        <v>29020.79</v>
      </c>
      <c r="G105" s="824"/>
      <c r="H105" s="822">
        <f t="shared" si="10"/>
        <v>0</v>
      </c>
    </row>
    <row r="106" spans="1:8" ht="31.5" hidden="1">
      <c r="A106" s="979" t="s">
        <v>1094</v>
      </c>
      <c r="B106" s="994">
        <v>99244</v>
      </c>
      <c r="C106" s="984" t="s">
        <v>1095</v>
      </c>
      <c r="D106" s="981" t="s">
        <v>729</v>
      </c>
      <c r="E106" s="824">
        <v>5381.87</v>
      </c>
      <c r="F106" s="822">
        <f t="shared" si="13"/>
        <v>6859.73</v>
      </c>
      <c r="G106" s="824">
        <f>'MC D'!Q191</f>
        <v>0</v>
      </c>
      <c r="H106" s="822">
        <f t="shared" si="10"/>
        <v>0</v>
      </c>
    </row>
    <row r="107" spans="1:8" ht="31.5" hidden="1">
      <c r="A107" s="979" t="s">
        <v>1096</v>
      </c>
      <c r="B107" s="994">
        <v>99247</v>
      </c>
      <c r="C107" s="984" t="s">
        <v>1097</v>
      </c>
      <c r="D107" s="981" t="s">
        <v>504</v>
      </c>
      <c r="E107" s="824">
        <v>2084.88</v>
      </c>
      <c r="F107" s="822">
        <f t="shared" si="13"/>
        <v>2657.39</v>
      </c>
      <c r="G107" s="824">
        <f>('MC D'!K178-1.45)*'PREV INUNDAÇÕES'!G106</f>
        <v>0</v>
      </c>
      <c r="H107" s="822">
        <f t="shared" si="10"/>
        <v>0</v>
      </c>
    </row>
    <row r="108" spans="1:8" ht="31.5" hidden="1">
      <c r="A108" s="979" t="s">
        <v>1098</v>
      </c>
      <c r="B108" s="994">
        <v>98114</v>
      </c>
      <c r="C108" s="984" t="s">
        <v>1099</v>
      </c>
      <c r="D108" s="981" t="s">
        <v>729</v>
      </c>
      <c r="E108" s="824">
        <v>691.53</v>
      </c>
      <c r="F108" s="822">
        <f t="shared" si="13"/>
        <v>881.42</v>
      </c>
      <c r="G108" s="824">
        <f>G106</f>
        <v>0</v>
      </c>
      <c r="H108" s="822">
        <f t="shared" si="10"/>
        <v>0</v>
      </c>
    </row>
    <row r="109" spans="1:8" ht="31.5" hidden="1">
      <c r="A109" s="979" t="s">
        <v>1100</v>
      </c>
      <c r="B109" s="994">
        <v>97956</v>
      </c>
      <c r="C109" s="984" t="s">
        <v>1101</v>
      </c>
      <c r="D109" s="981" t="s">
        <v>729</v>
      </c>
      <c r="E109" s="824">
        <v>1574.42</v>
      </c>
      <c r="F109" s="822">
        <f t="shared" si="13"/>
        <v>2006.76</v>
      </c>
      <c r="G109" s="824">
        <f>'MC D'!C176</f>
        <v>0</v>
      </c>
      <c r="H109" s="822">
        <f t="shared" si="10"/>
        <v>0</v>
      </c>
    </row>
    <row r="110" spans="1:8" hidden="1">
      <c r="A110" s="979" t="s">
        <v>1102</v>
      </c>
      <c r="B110" s="994">
        <v>2003385</v>
      </c>
      <c r="C110" s="984" t="s">
        <v>1103</v>
      </c>
      <c r="D110" s="981" t="s">
        <v>729</v>
      </c>
      <c r="E110" s="824">
        <v>69.23</v>
      </c>
      <c r="F110" s="822">
        <f t="shared" si="13"/>
        <v>88.24</v>
      </c>
      <c r="G110" s="824"/>
      <c r="H110" s="822">
        <f t="shared" si="10"/>
        <v>0</v>
      </c>
    </row>
    <row r="111" spans="1:8" hidden="1">
      <c r="A111" s="979" t="s">
        <v>1104</v>
      </c>
      <c r="B111" s="994">
        <v>2003405</v>
      </c>
      <c r="C111" s="984" t="s">
        <v>1105</v>
      </c>
      <c r="D111" s="981" t="s">
        <v>504</v>
      </c>
      <c r="E111" s="824">
        <v>237.06</v>
      </c>
      <c r="F111" s="822">
        <f t="shared" si="13"/>
        <v>302.16000000000003</v>
      </c>
      <c r="G111" s="824"/>
      <c r="H111" s="822">
        <f t="shared" si="10"/>
        <v>0</v>
      </c>
    </row>
    <row r="112" spans="1:8" hidden="1">
      <c r="A112" s="979" t="s">
        <v>1102</v>
      </c>
      <c r="B112" s="1000"/>
      <c r="C112" s="992" t="s">
        <v>10</v>
      </c>
      <c r="D112" s="981"/>
      <c r="E112" s="824"/>
      <c r="F112" s="822">
        <f t="shared" si="13"/>
        <v>0</v>
      </c>
      <c r="G112" s="822"/>
      <c r="H112" s="822">
        <f t="shared" si="10"/>
        <v>0</v>
      </c>
    </row>
    <row r="113" spans="1:8" hidden="1">
      <c r="A113" s="979" t="s">
        <v>1104</v>
      </c>
      <c r="B113" s="994">
        <v>99814</v>
      </c>
      <c r="C113" s="984" t="s">
        <v>1106</v>
      </c>
      <c r="D113" s="981" t="s">
        <v>2</v>
      </c>
      <c r="E113" s="824">
        <v>1.77</v>
      </c>
      <c r="F113" s="822">
        <f t="shared" si="13"/>
        <v>2.2599999999999998</v>
      </c>
      <c r="G113" s="822">
        <f>G124</f>
        <v>0</v>
      </c>
      <c r="H113" s="822">
        <f t="shared" si="10"/>
        <v>0</v>
      </c>
    </row>
    <row r="114" spans="1:8" hidden="1">
      <c r="A114" s="979" t="s">
        <v>1107</v>
      </c>
      <c r="B114" s="994"/>
      <c r="C114" s="992" t="str">
        <f>'[16]READEQUADA (ADT1)'!D145</f>
        <v>PAVIMENTAÇÃO DAS MARGINAIS</v>
      </c>
      <c r="D114" s="981"/>
      <c r="E114" s="824"/>
      <c r="F114" s="822"/>
      <c r="G114" s="825"/>
      <c r="H114" s="993">
        <f>SUBTOTAL(9,H115:H127)</f>
        <v>0</v>
      </c>
    </row>
    <row r="115" spans="1:8" ht="31.5" hidden="1">
      <c r="A115" s="979" t="s">
        <v>1108</v>
      </c>
      <c r="B115" s="994">
        <v>101125</v>
      </c>
      <c r="C115" s="984" t="s">
        <v>1027</v>
      </c>
      <c r="D115" s="981" t="str">
        <f>'[16]READEQUADA (ADT1)'!E146</f>
        <v>M3</v>
      </c>
      <c r="E115" s="982">
        <v>13.83</v>
      </c>
      <c r="F115" s="822">
        <f t="shared" si="13"/>
        <v>17.63</v>
      </c>
      <c r="G115" s="822">
        <f>[16]SESAN!I123</f>
        <v>0</v>
      </c>
      <c r="H115" s="822">
        <f t="shared" ref="H115:H127" si="14">ROUND(G115*F115,2)</f>
        <v>0</v>
      </c>
    </row>
    <row r="116" spans="1:8" hidden="1">
      <c r="A116" s="979" t="s">
        <v>1109</v>
      </c>
      <c r="B116" s="994">
        <f>'[16]READEQUADA (ADT1)'!B147</f>
        <v>6079</v>
      </c>
      <c r="C116" s="984" t="s">
        <v>521</v>
      </c>
      <c r="D116" s="981" t="str">
        <f>'[16]READEQUADA (ADT1)'!E147</f>
        <v>M3</v>
      </c>
      <c r="E116" s="824">
        <v>58.64</v>
      </c>
      <c r="F116" s="822">
        <f t="shared" si="13"/>
        <v>74.739999999999995</v>
      </c>
      <c r="G116" s="822">
        <f>[16]SESAN!I124</f>
        <v>0</v>
      </c>
      <c r="H116" s="822">
        <f t="shared" si="14"/>
        <v>0</v>
      </c>
    </row>
    <row r="117" spans="1:8" ht="31.5" hidden="1">
      <c r="A117" s="979" t="s">
        <v>1110</v>
      </c>
      <c r="B117" s="994">
        <v>95877</v>
      </c>
      <c r="C117" s="988" t="s">
        <v>1111</v>
      </c>
      <c r="D117" s="981" t="s">
        <v>1112</v>
      </c>
      <c r="E117" s="982">
        <v>1.88</v>
      </c>
      <c r="F117" s="822">
        <f t="shared" si="13"/>
        <v>2.4</v>
      </c>
      <c r="G117" s="822">
        <f>[16]SESAN!I125</f>
        <v>0</v>
      </c>
      <c r="H117" s="822">
        <f t="shared" si="14"/>
        <v>0</v>
      </c>
    </row>
    <row r="118" spans="1:8" ht="31.5" hidden="1">
      <c r="A118" s="979" t="s">
        <v>1113</v>
      </c>
      <c r="B118" s="994">
        <v>93590</v>
      </c>
      <c r="C118" s="988" t="s">
        <v>1025</v>
      </c>
      <c r="D118" s="981" t="s">
        <v>1009</v>
      </c>
      <c r="E118" s="982">
        <v>0.92</v>
      </c>
      <c r="F118" s="822">
        <f t="shared" si="13"/>
        <v>1.17</v>
      </c>
      <c r="G118" s="822">
        <f>[16]SESAN!I126</f>
        <v>0</v>
      </c>
      <c r="H118" s="822">
        <f t="shared" si="14"/>
        <v>0</v>
      </c>
    </row>
    <row r="119" spans="1:8" ht="47.25" hidden="1">
      <c r="A119" s="979" t="s">
        <v>1114</v>
      </c>
      <c r="B119" s="994">
        <v>101768</v>
      </c>
      <c r="C119" s="984" t="s">
        <v>1115</v>
      </c>
      <c r="D119" s="981" t="str">
        <f>'[16]READEQUADA (ADT1)'!E149</f>
        <v>M3</v>
      </c>
      <c r="E119" s="824">
        <v>41.77</v>
      </c>
      <c r="F119" s="822">
        <f t="shared" si="13"/>
        <v>53.24</v>
      </c>
      <c r="G119" s="822">
        <f>[16]SESAN!I127</f>
        <v>0</v>
      </c>
      <c r="H119" s="822">
        <f t="shared" si="14"/>
        <v>0</v>
      </c>
    </row>
    <row r="120" spans="1:8" ht="47.25" hidden="1">
      <c r="A120" s="979" t="s">
        <v>1116</v>
      </c>
      <c r="B120" s="994">
        <v>101767</v>
      </c>
      <c r="C120" s="984" t="s">
        <v>1117</v>
      </c>
      <c r="D120" s="981" t="str">
        <f>'[16]READEQUADA (ADT1)'!E150</f>
        <v>M3</v>
      </c>
      <c r="E120" s="824">
        <v>25.67</v>
      </c>
      <c r="F120" s="822">
        <f t="shared" si="13"/>
        <v>32.72</v>
      </c>
      <c r="G120" s="822">
        <f>[16]SESAN!I128</f>
        <v>0</v>
      </c>
      <c r="H120" s="822">
        <f t="shared" si="14"/>
        <v>0</v>
      </c>
    </row>
    <row r="121" spans="1:8" ht="31.5" hidden="1">
      <c r="A121" s="979" t="s">
        <v>1118</v>
      </c>
      <c r="B121" s="994" t="str">
        <f>'[16]READEQUADA (ADT1)'!B151</f>
        <v xml:space="preserve">4746 </v>
      </c>
      <c r="C121" s="984" t="s">
        <v>1119</v>
      </c>
      <c r="D121" s="981" t="str">
        <f>'[16]READEQUADA (ADT1)'!E151</f>
        <v xml:space="preserve">M3 </v>
      </c>
      <c r="E121" s="824">
        <v>132.69</v>
      </c>
      <c r="F121" s="822">
        <f t="shared" si="13"/>
        <v>169.13</v>
      </c>
      <c r="G121" s="822">
        <f>[16]SESAN!I129</f>
        <v>0</v>
      </c>
      <c r="H121" s="822">
        <f t="shared" si="14"/>
        <v>0</v>
      </c>
    </row>
    <row r="122" spans="1:8" ht="31.5" hidden="1">
      <c r="A122" s="979" t="s">
        <v>1120</v>
      </c>
      <c r="B122" s="994">
        <v>95877</v>
      </c>
      <c r="C122" s="988" t="s">
        <v>1111</v>
      </c>
      <c r="D122" s="981" t="s">
        <v>1112</v>
      </c>
      <c r="E122" s="982">
        <v>1.88</v>
      </c>
      <c r="F122" s="822">
        <f t="shared" si="13"/>
        <v>2.4</v>
      </c>
      <c r="G122" s="822">
        <f>[16]SESAN!I130</f>
        <v>0</v>
      </c>
      <c r="H122" s="822">
        <f t="shared" si="14"/>
        <v>0</v>
      </c>
    </row>
    <row r="123" spans="1:8" ht="31.5" hidden="1">
      <c r="A123" s="979" t="s">
        <v>1121</v>
      </c>
      <c r="B123" s="994">
        <v>93590</v>
      </c>
      <c r="C123" s="988" t="s">
        <v>1025</v>
      </c>
      <c r="D123" s="981" t="s">
        <v>1009</v>
      </c>
      <c r="E123" s="982">
        <v>0.92</v>
      </c>
      <c r="F123" s="822">
        <f t="shared" si="13"/>
        <v>1.17</v>
      </c>
      <c r="G123" s="822">
        <f>[16]SESAN!I131</f>
        <v>0</v>
      </c>
      <c r="H123" s="822">
        <f t="shared" si="14"/>
        <v>0</v>
      </c>
    </row>
    <row r="124" spans="1:8" ht="31.5" hidden="1">
      <c r="A124" s="979" t="s">
        <v>1122</v>
      </c>
      <c r="B124" s="994" t="s">
        <v>1012</v>
      </c>
      <c r="C124" s="984" t="s">
        <v>1123</v>
      </c>
      <c r="D124" s="981" t="str">
        <f>'[16]READEQUADA (ADT1)'!E154</f>
        <v>M2</v>
      </c>
      <c r="E124" s="824">
        <v>15.46</v>
      </c>
      <c r="F124" s="822">
        <f t="shared" si="13"/>
        <v>19.71</v>
      </c>
      <c r="G124" s="822">
        <f>[16]SESAN!I132</f>
        <v>0</v>
      </c>
      <c r="H124" s="822">
        <f t="shared" si="14"/>
        <v>0</v>
      </c>
    </row>
    <row r="125" spans="1:8" ht="31.5" hidden="1">
      <c r="A125" s="979" t="s">
        <v>1124</v>
      </c>
      <c r="B125" s="994" t="s">
        <v>1125</v>
      </c>
      <c r="C125" s="984" t="s">
        <v>1126</v>
      </c>
      <c r="D125" s="981" t="str">
        <f>'[16]READEQUADA (ADT1)'!E155</f>
        <v>M2</v>
      </c>
      <c r="E125" s="824">
        <v>7.66</v>
      </c>
      <c r="F125" s="822">
        <f t="shared" si="13"/>
        <v>9.76</v>
      </c>
      <c r="G125" s="822">
        <f>[16]SESAN!I133</f>
        <v>0</v>
      </c>
      <c r="H125" s="822">
        <f t="shared" si="14"/>
        <v>0</v>
      </c>
    </row>
    <row r="126" spans="1:8" ht="47.25" hidden="1">
      <c r="A126" s="979" t="s">
        <v>1127</v>
      </c>
      <c r="B126" s="994">
        <v>95995</v>
      </c>
      <c r="C126" s="984" t="s">
        <v>1128</v>
      </c>
      <c r="D126" s="981" t="str">
        <f>'[16]READEQUADA (ADT1)'!E156</f>
        <v>M3</v>
      </c>
      <c r="E126" s="824">
        <v>2617.9899999999998</v>
      </c>
      <c r="F126" s="822">
        <f t="shared" si="13"/>
        <v>3336.89</v>
      </c>
      <c r="G126" s="822">
        <f>[16]SESAN!I134</f>
        <v>0</v>
      </c>
      <c r="H126" s="822">
        <f t="shared" si="14"/>
        <v>0</v>
      </c>
    </row>
    <row r="127" spans="1:8" ht="31.5" hidden="1">
      <c r="A127" s="979" t="s">
        <v>1129</v>
      </c>
      <c r="B127" s="994" t="str">
        <f>'[16]READEQUADA (ADT1)'!B157</f>
        <v>95875</v>
      </c>
      <c r="C127" s="984" t="s">
        <v>1130</v>
      </c>
      <c r="D127" s="981" t="str">
        <f>'[16]READEQUADA (ADT1)'!E157</f>
        <v>M3XKM</v>
      </c>
      <c r="E127" s="824">
        <v>2.33</v>
      </c>
      <c r="F127" s="822">
        <f t="shared" si="13"/>
        <v>2.97</v>
      </c>
      <c r="G127" s="822">
        <f>[16]SESAN!I135</f>
        <v>0</v>
      </c>
      <c r="H127" s="822">
        <f t="shared" si="14"/>
        <v>0</v>
      </c>
    </row>
    <row r="128" spans="1:8">
      <c r="A128" s="986" t="s">
        <v>1131</v>
      </c>
      <c r="B128" s="994"/>
      <c r="C128" s="992" t="s">
        <v>1132</v>
      </c>
      <c r="D128" s="981"/>
      <c r="E128" s="824"/>
      <c r="F128" s="822"/>
      <c r="G128" s="822"/>
      <c r="H128" s="825">
        <f>SUBTOTAL(9,H129:H133)</f>
        <v>133556.54</v>
      </c>
    </row>
    <row r="129" spans="1:8">
      <c r="A129" s="989" t="s">
        <v>182</v>
      </c>
      <c r="B129" s="1000">
        <v>98504</v>
      </c>
      <c r="C129" s="984" t="s">
        <v>1133</v>
      </c>
      <c r="D129" s="981" t="s">
        <v>280</v>
      </c>
      <c r="E129" s="982">
        <v>13.91</v>
      </c>
      <c r="F129" s="822">
        <f t="shared" ref="F129:F132" si="15">ROUND(E129*(1+$F$6),2)</f>
        <v>17.73</v>
      </c>
      <c r="G129" s="982">
        <f>'MC TERR'!AH40</f>
        <v>7532.8</v>
      </c>
      <c r="H129" s="822">
        <f t="shared" ref="H129:H132" si="16">ROUND($F129*G129,2)</f>
        <v>133556.54</v>
      </c>
    </row>
    <row r="130" spans="1:8" hidden="1">
      <c r="A130" s="989" t="s">
        <v>431</v>
      </c>
      <c r="B130" s="994" t="s">
        <v>185</v>
      </c>
      <c r="C130" s="984" t="s">
        <v>1134</v>
      </c>
      <c r="D130" s="981" t="s">
        <v>933</v>
      </c>
      <c r="E130" s="824">
        <f>[16]CPU´S!G21</f>
        <v>110.73</v>
      </c>
      <c r="F130" s="822">
        <f t="shared" si="15"/>
        <v>141.13999999999999</v>
      </c>
      <c r="G130" s="982"/>
      <c r="H130" s="822">
        <f t="shared" si="16"/>
        <v>0</v>
      </c>
    </row>
    <row r="131" spans="1:8" ht="47.25" hidden="1">
      <c r="A131" s="989" t="s">
        <v>432</v>
      </c>
      <c r="B131" s="994">
        <v>100981</v>
      </c>
      <c r="C131" s="984" t="s">
        <v>1135</v>
      </c>
      <c r="D131" s="981" t="s">
        <v>512</v>
      </c>
      <c r="E131" s="824">
        <v>8.56</v>
      </c>
      <c r="F131" s="822">
        <f t="shared" si="15"/>
        <v>10.91</v>
      </c>
      <c r="G131" s="982">
        <f>G130*1.127</f>
        <v>0</v>
      </c>
      <c r="H131" s="822">
        <f t="shared" si="16"/>
        <v>0</v>
      </c>
    </row>
    <row r="132" spans="1:8" hidden="1">
      <c r="A132" s="989"/>
      <c r="B132" s="989">
        <v>97914</v>
      </c>
      <c r="C132" s="984" t="s">
        <v>1136</v>
      </c>
      <c r="D132" s="981" t="s">
        <v>643</v>
      </c>
      <c r="E132" s="982">
        <v>2.69</v>
      </c>
      <c r="F132" s="822">
        <f t="shared" si="15"/>
        <v>3.43</v>
      </c>
      <c r="G132" s="982">
        <f>G131*1.5*9.8</f>
        <v>0</v>
      </c>
      <c r="H132" s="822">
        <f t="shared" si="16"/>
        <v>0</v>
      </c>
    </row>
    <row r="133" spans="1:8">
      <c r="A133" s="995"/>
      <c r="B133" s="1002"/>
      <c r="C133" s="996"/>
      <c r="D133" s="973"/>
      <c r="E133" s="827"/>
      <c r="F133" s="826"/>
      <c r="G133" s="826"/>
      <c r="H133" s="826"/>
    </row>
    <row r="134" spans="1:8" ht="24.4" customHeight="1">
      <c r="A134" s="2037" t="s">
        <v>1547</v>
      </c>
      <c r="B134" s="2038"/>
      <c r="C134" s="2038"/>
      <c r="D134" s="2038"/>
      <c r="E134" s="2038"/>
      <c r="F134" s="2038"/>
      <c r="G134" s="2039"/>
      <c r="H134" s="828">
        <f>SUMPRODUCT(E11:E129,G11:G129)</f>
        <v>2890966.44</v>
      </c>
    </row>
    <row r="135" spans="1:8" ht="24.4" customHeight="1">
      <c r="A135" s="2037" t="s">
        <v>1546</v>
      </c>
      <c r="B135" s="2038"/>
      <c r="C135" s="2038"/>
      <c r="D135" s="2038"/>
      <c r="E135" s="2038"/>
      <c r="F135" s="2038"/>
      <c r="G135" s="2039"/>
      <c r="H135" s="828">
        <f>SUBTOTAL(9,H10:H133)</f>
        <v>3684183.14</v>
      </c>
    </row>
    <row r="136" spans="1:8">
      <c r="B136" s="1005"/>
      <c r="C136" s="1005"/>
      <c r="D136" s="1005"/>
      <c r="E136" s="1005"/>
      <c r="F136" s="1006"/>
      <c r="G136" s="829"/>
      <c r="H136" s="829"/>
    </row>
    <row r="137" spans="1:8">
      <c r="H137" s="1008">
        <v>1557980.81</v>
      </c>
    </row>
    <row r="138" spans="1:8">
      <c r="H138" s="830">
        <f>H137*2</f>
        <v>3115961.62</v>
      </c>
    </row>
    <row r="145" spans="8:8">
      <c r="H145" s="831"/>
    </row>
    <row r="192" spans="7:8">
      <c r="G192" s="1008"/>
      <c r="H192" s="1008"/>
    </row>
    <row r="212" spans="3:3">
      <c r="C212" s="960"/>
    </row>
  </sheetData>
  <mergeCells count="11">
    <mergeCell ref="E8:F8"/>
    <mergeCell ref="G8:G9"/>
    <mergeCell ref="H8:H9"/>
    <mergeCell ref="A135:G135"/>
    <mergeCell ref="A134:G134"/>
    <mergeCell ref="D8:D9"/>
    <mergeCell ref="B4:C5"/>
    <mergeCell ref="B7:C7"/>
    <mergeCell ref="A8:A9"/>
    <mergeCell ref="B8:B9"/>
    <mergeCell ref="C8:C9"/>
  </mergeCells>
  <phoneticPr fontId="40" type="noConversion"/>
  <printOptions horizontalCentered="1"/>
  <pageMargins left="0.19685039370078741" right="0.19685039370078741" top="0.39370078740157483" bottom="1.1023622047244095" header="0.35433070866141736" footer="0.31496062992125984"/>
  <pageSetup paperSize="9" scale="55" fitToHeight="0" orientation="portrait"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8F36-AB48-4EB7-AEE1-A250C0774139}">
  <sheetPr>
    <tabColor theme="7" tint="0.39997558519241921"/>
    <pageSetUpPr fitToPage="1"/>
  </sheetPr>
  <dimension ref="A1:AE479"/>
  <sheetViews>
    <sheetView showGridLines="0" view="pageBreakPreview" topLeftCell="A278" zoomScale="40" zoomScaleNormal="55" zoomScaleSheetLayoutView="40" workbookViewId="0">
      <selection activeCell="L195" sqref="L195"/>
    </sheetView>
  </sheetViews>
  <sheetFormatPr defaultColWidth="9.140625" defaultRowHeight="12.75"/>
  <cols>
    <col min="1" max="1" width="22.7109375" style="1140" customWidth="1"/>
    <col min="2" max="2" width="23" style="1140" customWidth="1"/>
    <col min="3" max="4" width="10" style="1138" customWidth="1"/>
    <col min="5" max="5" width="16" style="1138" customWidth="1"/>
    <col min="6" max="6" width="13.7109375" style="1138" customWidth="1"/>
    <col min="7" max="7" width="9.140625" style="1138" customWidth="1"/>
    <col min="8" max="12" width="12.7109375" style="1138" customWidth="1"/>
    <col min="13" max="13" width="15.7109375" style="1138" customWidth="1"/>
    <col min="14" max="16" width="19.7109375" style="1138" customWidth="1"/>
    <col min="17" max="17" width="15.7109375" style="1138" customWidth="1"/>
    <col min="18" max="18" width="12.85546875" style="1138" customWidth="1"/>
    <col min="19" max="19" width="14.7109375" style="1138" customWidth="1"/>
    <col min="20" max="23" width="17.7109375" style="1138" customWidth="1"/>
    <col min="24" max="24" width="17.7109375" style="1139" customWidth="1"/>
    <col min="25" max="25" width="16.140625" style="1138" customWidth="1"/>
    <col min="26" max="26" width="17.28515625" style="894" customWidth="1"/>
    <col min="27" max="28" width="17.42578125" style="894" customWidth="1"/>
    <col min="29" max="29" width="16.42578125" style="894" customWidth="1"/>
    <col min="30" max="30" width="17.7109375" style="1143" customWidth="1"/>
    <col min="31" max="31" width="16.42578125" style="1143" customWidth="1"/>
    <col min="32" max="16384" width="9.140625" style="1138"/>
  </cols>
  <sheetData>
    <row r="1" spans="1:31" s="1009" customFormat="1" ht="27" customHeight="1">
      <c r="A1" s="2040"/>
      <c r="B1" s="2043" t="s">
        <v>1558</v>
      </c>
      <c r="C1" s="2043"/>
      <c r="D1" s="2043"/>
      <c r="E1" s="2043"/>
      <c r="F1" s="2043"/>
      <c r="G1" s="2043"/>
      <c r="H1" s="2043"/>
      <c r="I1" s="2043"/>
      <c r="J1" s="2043"/>
      <c r="K1" s="2043"/>
      <c r="L1" s="2043"/>
      <c r="M1" s="2043"/>
      <c r="N1" s="2043"/>
      <c r="O1" s="2043"/>
      <c r="P1" s="2043"/>
      <c r="Q1" s="2043"/>
      <c r="R1" s="2043"/>
      <c r="S1" s="2043"/>
      <c r="T1" s="2043"/>
      <c r="U1" s="2043"/>
      <c r="V1" s="2043"/>
      <c r="W1" s="2043"/>
      <c r="X1" s="2043"/>
      <c r="Y1" s="2043"/>
      <c r="Z1" s="2043"/>
      <c r="AA1" s="2043"/>
      <c r="AB1" s="2043"/>
      <c r="AC1" s="2043"/>
      <c r="AD1" s="2043"/>
      <c r="AE1" s="2044"/>
    </row>
    <row r="2" spans="1:31" s="1009" customFormat="1" ht="27" customHeight="1">
      <c r="A2" s="2041"/>
      <c r="B2" s="2045" t="s">
        <v>1559</v>
      </c>
      <c r="C2" s="2045"/>
      <c r="D2" s="2045"/>
      <c r="E2" s="2045"/>
      <c r="F2" s="2045"/>
      <c r="G2" s="2045"/>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6"/>
    </row>
    <row r="3" spans="1:31" s="1009" customFormat="1" ht="27" customHeight="1">
      <c r="A3" s="2042"/>
      <c r="B3" s="2047" t="s">
        <v>1557</v>
      </c>
      <c r="C3" s="2047"/>
      <c r="D3" s="2047"/>
      <c r="E3" s="2047"/>
      <c r="F3" s="2047"/>
      <c r="G3" s="2047"/>
      <c r="H3" s="2047"/>
      <c r="I3" s="2047"/>
      <c r="J3" s="2047"/>
      <c r="K3" s="2047"/>
      <c r="L3" s="2047"/>
      <c r="M3" s="2047"/>
      <c r="N3" s="2047"/>
      <c r="O3" s="2047"/>
      <c r="P3" s="2047"/>
      <c r="Q3" s="2047"/>
      <c r="R3" s="2047"/>
      <c r="S3" s="2047"/>
      <c r="T3" s="2047"/>
      <c r="U3" s="2047"/>
      <c r="V3" s="2047"/>
      <c r="W3" s="2047"/>
      <c r="X3" s="2047"/>
      <c r="Y3" s="2047"/>
      <c r="Z3" s="2047"/>
      <c r="AA3" s="2047"/>
      <c r="AB3" s="2047"/>
      <c r="AC3" s="2047"/>
      <c r="AD3" s="2047"/>
      <c r="AE3" s="2048"/>
    </row>
    <row r="4" spans="1:31" s="1009" customFormat="1" ht="6.75" customHeight="1">
      <c r="A4" s="1528"/>
      <c r="B4" s="1529"/>
      <c r="C4" s="1530"/>
      <c r="D4" s="1531"/>
      <c r="E4" s="1532"/>
      <c r="F4" s="1532"/>
      <c r="G4" s="1532"/>
      <c r="H4" s="1529"/>
      <c r="I4" s="1531"/>
      <c r="J4" s="1531"/>
      <c r="K4" s="1531"/>
      <c r="L4" s="1531"/>
      <c r="M4" s="1531"/>
      <c r="N4" s="1531"/>
      <c r="O4" s="1531"/>
      <c r="P4" s="1531"/>
      <c r="Q4" s="1531"/>
      <c r="R4" s="1531"/>
      <c r="S4" s="1531"/>
      <c r="T4" s="1531"/>
      <c r="U4" s="1531"/>
      <c r="V4" s="1531"/>
      <c r="W4" s="1531"/>
      <c r="X4" s="1531"/>
      <c r="Y4" s="1531"/>
      <c r="Z4" s="832"/>
      <c r="AA4" s="832"/>
      <c r="AB4" s="832"/>
      <c r="AC4" s="832"/>
      <c r="AD4" s="1533"/>
      <c r="AE4" s="1534"/>
    </row>
    <row r="5" spans="1:31" s="1010" customFormat="1" ht="24" customHeight="1">
      <c r="A5" s="2049" t="s">
        <v>1138</v>
      </c>
      <c r="B5" s="2050"/>
      <c r="C5" s="2050" t="s">
        <v>309</v>
      </c>
      <c r="D5" s="2050"/>
      <c r="E5" s="2050" t="s">
        <v>1139</v>
      </c>
      <c r="F5" s="2050" t="s">
        <v>1140</v>
      </c>
      <c r="G5" s="2050"/>
      <c r="H5" s="2050"/>
      <c r="I5" s="2050" t="s">
        <v>175</v>
      </c>
      <c r="J5" s="2055" t="s">
        <v>1141</v>
      </c>
      <c r="K5" s="2055" t="s">
        <v>1142</v>
      </c>
      <c r="L5" s="2055" t="s">
        <v>1143</v>
      </c>
      <c r="M5" s="2050" t="s">
        <v>1144</v>
      </c>
      <c r="N5" s="2050"/>
      <c r="O5" s="2050"/>
      <c r="P5" s="2050"/>
      <c r="Q5" s="2050"/>
      <c r="R5" s="2050" t="s">
        <v>1145</v>
      </c>
      <c r="S5" s="2050"/>
      <c r="T5" s="2055" t="s">
        <v>1146</v>
      </c>
      <c r="U5" s="2050" t="s">
        <v>1147</v>
      </c>
      <c r="V5" s="2050" t="s">
        <v>1148</v>
      </c>
      <c r="W5" s="2050"/>
      <c r="X5" s="2050"/>
      <c r="Y5" s="2050" t="s">
        <v>658</v>
      </c>
      <c r="Z5" s="2059" t="s">
        <v>1149</v>
      </c>
      <c r="AA5" s="2059" t="s">
        <v>1150</v>
      </c>
      <c r="AB5" s="2059" t="s">
        <v>1151</v>
      </c>
      <c r="AC5" s="2059" t="s">
        <v>1152</v>
      </c>
      <c r="AD5" s="2050" t="s">
        <v>468</v>
      </c>
      <c r="AE5" s="2057"/>
    </row>
    <row r="6" spans="1:31" s="1010" customFormat="1" ht="40.9" customHeight="1">
      <c r="A6" s="2051"/>
      <c r="B6" s="2052"/>
      <c r="C6" s="2052"/>
      <c r="D6" s="2052"/>
      <c r="E6" s="2052"/>
      <c r="F6" s="2052"/>
      <c r="G6" s="2052"/>
      <c r="H6" s="2052"/>
      <c r="I6" s="2052"/>
      <c r="J6" s="2056"/>
      <c r="K6" s="2056"/>
      <c r="L6" s="2056"/>
      <c r="M6" s="1011" t="s">
        <v>22</v>
      </c>
      <c r="N6" s="2052" t="s">
        <v>1153</v>
      </c>
      <c r="O6" s="2052"/>
      <c r="P6" s="2052"/>
      <c r="Q6" s="833" t="s">
        <v>1154</v>
      </c>
      <c r="R6" s="2052"/>
      <c r="S6" s="2052"/>
      <c r="T6" s="2056"/>
      <c r="U6" s="2052"/>
      <c r="V6" s="1012" t="s">
        <v>1155</v>
      </c>
      <c r="W6" s="833" t="s">
        <v>1156</v>
      </c>
      <c r="X6" s="1011" t="s">
        <v>1157</v>
      </c>
      <c r="Y6" s="2052"/>
      <c r="Z6" s="2060"/>
      <c r="AA6" s="2060"/>
      <c r="AB6" s="2060"/>
      <c r="AC6" s="2060"/>
      <c r="AD6" s="2052"/>
      <c r="AE6" s="2058"/>
    </row>
    <row r="7" spans="1:31" s="1010" customFormat="1" ht="66.400000000000006" customHeight="1">
      <c r="A7" s="2053"/>
      <c r="B7" s="2054"/>
      <c r="C7" s="834" t="s">
        <v>1158</v>
      </c>
      <c r="D7" s="834" t="s">
        <v>1159</v>
      </c>
      <c r="E7" s="834" t="s">
        <v>3</v>
      </c>
      <c r="F7" s="1013" t="s">
        <v>1160</v>
      </c>
      <c r="G7" s="1013" t="s">
        <v>1161</v>
      </c>
      <c r="H7" s="1013" t="s">
        <v>1162</v>
      </c>
      <c r="I7" s="834" t="s">
        <v>308</v>
      </c>
      <c r="J7" s="834" t="s">
        <v>308</v>
      </c>
      <c r="K7" s="1013" t="s">
        <v>1163</v>
      </c>
      <c r="L7" s="1013" t="s">
        <v>1163</v>
      </c>
      <c r="M7" s="834" t="s">
        <v>0</v>
      </c>
      <c r="N7" s="834" t="s">
        <v>1164</v>
      </c>
      <c r="O7" s="1013" t="s">
        <v>1165</v>
      </c>
      <c r="P7" s="1013" t="s">
        <v>1166</v>
      </c>
      <c r="Q7" s="834" t="s">
        <v>0</v>
      </c>
      <c r="R7" s="834" t="s">
        <v>1167</v>
      </c>
      <c r="S7" s="1013" t="s">
        <v>1168</v>
      </c>
      <c r="T7" s="834" t="s">
        <v>2</v>
      </c>
      <c r="U7" s="834" t="s">
        <v>0</v>
      </c>
      <c r="V7" s="834" t="str">
        <f>W7</f>
        <v>m³</v>
      </c>
      <c r="W7" s="834" t="s">
        <v>0</v>
      </c>
      <c r="X7" s="834" t="s">
        <v>0</v>
      </c>
      <c r="Y7" s="834" t="s">
        <v>0</v>
      </c>
      <c r="Z7" s="835" t="s">
        <v>1169</v>
      </c>
      <c r="AA7" s="835" t="s">
        <v>1169</v>
      </c>
      <c r="AB7" s="835" t="s">
        <v>1169</v>
      </c>
      <c r="AC7" s="835" t="s">
        <v>1170</v>
      </c>
      <c r="AD7" s="1014" t="s">
        <v>1171</v>
      </c>
      <c r="AE7" s="1535" t="s">
        <v>1172</v>
      </c>
    </row>
    <row r="8" spans="1:31" s="1010" customFormat="1" ht="77.25" customHeight="1">
      <c r="A8" s="2061" t="s">
        <v>1173</v>
      </c>
      <c r="B8" s="2062"/>
      <c r="C8" s="2062"/>
      <c r="D8" s="2063"/>
      <c r="E8" s="1015" t="s">
        <v>1174</v>
      </c>
      <c r="F8" s="1016" t="s">
        <v>1175</v>
      </c>
      <c r="G8" s="1017" t="s">
        <v>1176</v>
      </c>
      <c r="H8" s="1017" t="s">
        <v>1177</v>
      </c>
      <c r="I8" s="1017" t="s">
        <v>1178</v>
      </c>
      <c r="J8" s="1016" t="s">
        <v>1179</v>
      </c>
      <c r="K8" s="1016" t="s">
        <v>1179</v>
      </c>
      <c r="L8" s="1017" t="s">
        <v>1180</v>
      </c>
      <c r="M8" s="1018" t="s">
        <v>1181</v>
      </c>
      <c r="N8" s="1017" t="s">
        <v>1182</v>
      </c>
      <c r="O8" s="1017" t="s">
        <v>1183</v>
      </c>
      <c r="P8" s="1017" t="s">
        <v>1184</v>
      </c>
      <c r="Q8" s="1017" t="s">
        <v>1185</v>
      </c>
      <c r="R8" s="1017" t="s">
        <v>1186</v>
      </c>
      <c r="S8" s="1018" t="s">
        <v>1187</v>
      </c>
      <c r="T8" s="1017" t="s">
        <v>1188</v>
      </c>
      <c r="U8" s="1017" t="s">
        <v>1189</v>
      </c>
      <c r="V8" s="1017" t="s">
        <v>1190</v>
      </c>
      <c r="W8" s="1017" t="s">
        <v>1191</v>
      </c>
      <c r="X8" s="1017" t="s">
        <v>1192</v>
      </c>
      <c r="Y8" s="1017" t="s">
        <v>1193</v>
      </c>
      <c r="Z8" s="836" t="s">
        <v>1194</v>
      </c>
      <c r="AA8" s="836" t="s">
        <v>1195</v>
      </c>
      <c r="AB8" s="836" t="s">
        <v>1195</v>
      </c>
      <c r="AC8" s="836" t="s">
        <v>1196</v>
      </c>
      <c r="AD8" s="1019" t="s">
        <v>1197</v>
      </c>
      <c r="AE8" s="1536" t="s">
        <v>1198</v>
      </c>
    </row>
    <row r="9" spans="1:31" s="1021" customFormat="1" ht="30.75" customHeight="1">
      <c r="A9" s="837" t="s">
        <v>1556</v>
      </c>
      <c r="B9" s="838"/>
      <c r="C9" s="839" t="s">
        <v>1555</v>
      </c>
      <c r="D9" s="839" t="s">
        <v>1551</v>
      </c>
      <c r="E9" s="840"/>
      <c r="F9" s="841">
        <v>1500</v>
      </c>
      <c r="G9" s="841" t="s">
        <v>7</v>
      </c>
      <c r="H9" s="841">
        <f t="shared" ref="H9:H72" si="0">IF(F9=400,F9+80,IF(F9=500,F9+100,IF(F9=600,F9+120,IF(F9=800,F9+144,IF(F9=1000,F9+160,IF(F9=1200,F9+192,F9+240))))))</f>
        <v>1740</v>
      </c>
      <c r="I9" s="840">
        <f>IF(G9="S",H9/1000+0.75,IF(G9="D",(H9/1000+0.75)*2,IF(G9="T",(H9/1000+0.75)*3,(H9/1000+0.75)*4)))</f>
        <v>4.9800000000000004</v>
      </c>
      <c r="J9" s="840">
        <f>H9/1000+0.7</f>
        <v>2.44</v>
      </c>
      <c r="K9" s="840">
        <f>IF(J9&lt;H9/1000+0.6,H9/1000+0.6,J9)</f>
        <v>2.44</v>
      </c>
      <c r="L9" s="840">
        <f t="shared" ref="L9:L72" si="1">K9+R9</f>
        <v>2.64</v>
      </c>
      <c r="M9" s="1020">
        <f t="shared" ref="M9:M72" si="2">ROUND(E9*I9*L9,2)</f>
        <v>0</v>
      </c>
      <c r="N9" s="1020">
        <f>ROUND(E9*I9*L9,2)*0</f>
        <v>0</v>
      </c>
      <c r="O9" s="1020">
        <f t="shared" ref="O9:O72" si="3">N9</f>
        <v>0</v>
      </c>
      <c r="P9" s="1020">
        <f t="shared" ref="P9:P72" si="4">N9-O9</f>
        <v>0</v>
      </c>
      <c r="Q9" s="1020">
        <f>ROUND(E9*I9*L9,2)*1</f>
        <v>0</v>
      </c>
      <c r="R9" s="1020">
        <v>0.2</v>
      </c>
      <c r="S9" s="1020">
        <f t="shared" ref="S9:S72" si="5">ROUND(E9*I9*R9,2)</f>
        <v>0</v>
      </c>
      <c r="T9" s="1020">
        <f>E9*I9</f>
        <v>0</v>
      </c>
      <c r="U9" s="1020">
        <f t="shared" ref="U9:U72" si="6">ROUND(3.1416*((H9/1000/2)^2)*E9,2)</f>
        <v>0</v>
      </c>
      <c r="V9" s="1020">
        <f t="shared" ref="V9:V72" si="7">(N9+Q9)-S9-U9</f>
        <v>0</v>
      </c>
      <c r="W9" s="1020">
        <f>M9-(U9+S9+O9)</f>
        <v>0</v>
      </c>
      <c r="X9" s="1020">
        <f t="shared" ref="X9:X72" si="8">O9</f>
        <v>0</v>
      </c>
      <c r="Y9" s="1020">
        <f t="shared" ref="Y9:Y72" si="9">Q9+P9</f>
        <v>0</v>
      </c>
      <c r="Z9" s="842">
        <f>ROUND(Y9*1.3*9.8,2)</f>
        <v>0</v>
      </c>
      <c r="AA9" s="842">
        <f>ROUND(W9*30*1.3,2)</f>
        <v>0</v>
      </c>
      <c r="AB9" s="842">
        <f>ROUND(W9*(37.4-30)*1.3,2)</f>
        <v>0</v>
      </c>
      <c r="AC9" s="842">
        <f>(E9/(20/8))*6.41</f>
        <v>0</v>
      </c>
      <c r="AD9" s="1020">
        <f>IF(OR(L9&gt;1.8,L9&lt;1.5),,L9*E9*2)</f>
        <v>0</v>
      </c>
      <c r="AE9" s="1537">
        <f>IF(OR(L9=1.8,L9&gt;1.8),L9*E9*2,)</f>
        <v>0</v>
      </c>
    </row>
    <row r="10" spans="1:31" s="1021" customFormat="1" ht="30.75" hidden="1" customHeight="1">
      <c r="A10" s="837"/>
      <c r="B10" s="838"/>
      <c r="C10" s="839"/>
      <c r="D10" s="839"/>
      <c r="E10" s="840"/>
      <c r="F10" s="841"/>
      <c r="G10" s="841" t="s">
        <v>7</v>
      </c>
      <c r="H10" s="841">
        <f t="shared" si="0"/>
        <v>240</v>
      </c>
      <c r="I10" s="840">
        <f t="shared" ref="I10:I73" si="10">IF(G10="S",H10/1000+0.75,IF(G10="D",(H10/1000+0.75)*2,IF(G10="T",(H10/1000+0.75)*3,(H10/1000+0.75)*4)))</f>
        <v>1.98</v>
      </c>
      <c r="J10" s="840">
        <f>J9</f>
        <v>2.44</v>
      </c>
      <c r="K10" s="840">
        <f t="shared" ref="K10:K73" si="11">IF(J10&lt;H10/1000+0.6,H10/1000+0.6,J10)</f>
        <v>2.44</v>
      </c>
      <c r="L10" s="840">
        <f t="shared" si="1"/>
        <v>2.64</v>
      </c>
      <c r="M10" s="1020">
        <f t="shared" si="2"/>
        <v>0</v>
      </c>
      <c r="N10" s="1020">
        <f t="shared" ref="N10:N19" si="12">ROUND(E10*I10*L10,2)*0</f>
        <v>0</v>
      </c>
      <c r="O10" s="1020">
        <f t="shared" si="3"/>
        <v>0</v>
      </c>
      <c r="P10" s="1020">
        <f t="shared" si="4"/>
        <v>0</v>
      </c>
      <c r="Q10" s="1020">
        <f t="shared" ref="Q10:Q19" si="13">ROUND(E10*I10*L10,2)*1</f>
        <v>0</v>
      </c>
      <c r="R10" s="1020">
        <v>0.2</v>
      </c>
      <c r="S10" s="1020">
        <f t="shared" si="5"/>
        <v>0</v>
      </c>
      <c r="T10" s="1020">
        <f t="shared" ref="T10:T73" si="14">E10*I10</f>
        <v>0</v>
      </c>
      <c r="U10" s="1020">
        <f t="shared" si="6"/>
        <v>0</v>
      </c>
      <c r="V10" s="1020">
        <f t="shared" si="7"/>
        <v>0</v>
      </c>
      <c r="W10" s="1020">
        <f t="shared" ref="W10:W73" si="15">M10-(U10+S10+O10)</f>
        <v>0</v>
      </c>
      <c r="X10" s="1020">
        <f t="shared" si="8"/>
        <v>0</v>
      </c>
      <c r="Y10" s="1020">
        <f t="shared" si="9"/>
        <v>0</v>
      </c>
      <c r="Z10" s="842">
        <f t="shared" ref="Z10:Z24" si="16">ROUND(Y10*1.3*9.8,2)</f>
        <v>0</v>
      </c>
      <c r="AA10" s="842">
        <f t="shared" ref="AA10:AB27" si="17">ROUND(W10*30*1.3,2)</f>
        <v>0</v>
      </c>
      <c r="AB10" s="842">
        <f t="shared" ref="AB10:AB23" si="18">ROUND(W10*(37.4-30)*1.3,2)</f>
        <v>0</v>
      </c>
      <c r="AC10" s="842">
        <f t="shared" ref="AC10:AC73" si="19">(E10/(20/8))*6.41</f>
        <v>0</v>
      </c>
      <c r="AD10" s="1020">
        <f t="shared" ref="AD10:AD73" si="20">IF(OR(L10&gt;1.8,L10&lt;1.5),,L10*E10*2)</f>
        <v>0</v>
      </c>
      <c r="AE10" s="1537">
        <f t="shared" ref="AE10:AE73" si="21">IF(OR(L10=1.8,L10&gt;1.8),L10*E10*2,)</f>
        <v>0</v>
      </c>
    </row>
    <row r="11" spans="1:31" s="1021" customFormat="1" ht="30.75" hidden="1" customHeight="1">
      <c r="A11" s="837"/>
      <c r="B11" s="838"/>
      <c r="C11" s="839"/>
      <c r="D11" s="839"/>
      <c r="E11" s="840"/>
      <c r="F11" s="841"/>
      <c r="G11" s="841" t="s">
        <v>7</v>
      </c>
      <c r="H11" s="841">
        <f t="shared" si="0"/>
        <v>240</v>
      </c>
      <c r="I11" s="840">
        <f t="shared" si="10"/>
        <v>1.98</v>
      </c>
      <c r="J11" s="840">
        <f t="shared" ref="J11:J19" si="22">J10</f>
        <v>2.44</v>
      </c>
      <c r="K11" s="840">
        <f t="shared" si="11"/>
        <v>2.44</v>
      </c>
      <c r="L11" s="840">
        <f t="shared" si="1"/>
        <v>2.64</v>
      </c>
      <c r="M11" s="1020">
        <f>ROUND(E11*I11*L11,2)</f>
        <v>0</v>
      </c>
      <c r="N11" s="1020">
        <f t="shared" si="12"/>
        <v>0</v>
      </c>
      <c r="O11" s="1020">
        <f t="shared" si="3"/>
        <v>0</v>
      </c>
      <c r="P11" s="1020">
        <f t="shared" si="4"/>
        <v>0</v>
      </c>
      <c r="Q11" s="1020">
        <f t="shared" si="13"/>
        <v>0</v>
      </c>
      <c r="R11" s="1020">
        <v>0.2</v>
      </c>
      <c r="S11" s="1020">
        <f t="shared" si="5"/>
        <v>0</v>
      </c>
      <c r="T11" s="1020">
        <f t="shared" si="14"/>
        <v>0</v>
      </c>
      <c r="U11" s="1020">
        <f t="shared" si="6"/>
        <v>0</v>
      </c>
      <c r="V11" s="1020">
        <f t="shared" si="7"/>
        <v>0</v>
      </c>
      <c r="W11" s="1020">
        <f t="shared" si="15"/>
        <v>0</v>
      </c>
      <c r="X11" s="1020">
        <f t="shared" si="8"/>
        <v>0</v>
      </c>
      <c r="Y11" s="1020">
        <f t="shared" si="9"/>
        <v>0</v>
      </c>
      <c r="Z11" s="842">
        <f t="shared" si="16"/>
        <v>0</v>
      </c>
      <c r="AA11" s="842">
        <f t="shared" si="17"/>
        <v>0</v>
      </c>
      <c r="AB11" s="842">
        <f t="shared" si="18"/>
        <v>0</v>
      </c>
      <c r="AC11" s="842">
        <f t="shared" si="19"/>
        <v>0</v>
      </c>
      <c r="AD11" s="1020">
        <f t="shared" si="20"/>
        <v>0</v>
      </c>
      <c r="AE11" s="1537">
        <f t="shared" si="21"/>
        <v>0</v>
      </c>
    </row>
    <row r="12" spans="1:31" s="1022" customFormat="1" ht="30.75" hidden="1" customHeight="1">
      <c r="A12" s="837"/>
      <c r="B12" s="838"/>
      <c r="C12" s="839"/>
      <c r="D12" s="839"/>
      <c r="E12" s="840"/>
      <c r="F12" s="841"/>
      <c r="G12" s="841" t="s">
        <v>7</v>
      </c>
      <c r="H12" s="841">
        <f t="shared" si="0"/>
        <v>240</v>
      </c>
      <c r="I12" s="840">
        <f t="shared" si="10"/>
        <v>1.98</v>
      </c>
      <c r="J12" s="840">
        <f t="shared" si="22"/>
        <v>2.44</v>
      </c>
      <c r="K12" s="840">
        <f t="shared" si="11"/>
        <v>2.44</v>
      </c>
      <c r="L12" s="840">
        <f t="shared" si="1"/>
        <v>2.64</v>
      </c>
      <c r="M12" s="1020">
        <f t="shared" si="2"/>
        <v>0</v>
      </c>
      <c r="N12" s="1020">
        <f t="shared" si="12"/>
        <v>0</v>
      </c>
      <c r="O12" s="1020">
        <f t="shared" si="3"/>
        <v>0</v>
      </c>
      <c r="P12" s="1020">
        <f t="shared" si="4"/>
        <v>0</v>
      </c>
      <c r="Q12" s="1020">
        <f t="shared" si="13"/>
        <v>0</v>
      </c>
      <c r="R12" s="1020">
        <v>0.2</v>
      </c>
      <c r="S12" s="1020">
        <f t="shared" si="5"/>
        <v>0</v>
      </c>
      <c r="T12" s="1020">
        <f t="shared" si="14"/>
        <v>0</v>
      </c>
      <c r="U12" s="1020">
        <f t="shared" si="6"/>
        <v>0</v>
      </c>
      <c r="V12" s="1020">
        <f t="shared" si="7"/>
        <v>0</v>
      </c>
      <c r="W12" s="1020">
        <f t="shared" si="15"/>
        <v>0</v>
      </c>
      <c r="X12" s="1020">
        <f t="shared" si="8"/>
        <v>0</v>
      </c>
      <c r="Y12" s="1020">
        <f t="shared" si="9"/>
        <v>0</v>
      </c>
      <c r="Z12" s="842">
        <f t="shared" si="16"/>
        <v>0</v>
      </c>
      <c r="AA12" s="842">
        <f t="shared" si="17"/>
        <v>0</v>
      </c>
      <c r="AB12" s="842">
        <f t="shared" si="18"/>
        <v>0</v>
      </c>
      <c r="AC12" s="842">
        <f t="shared" si="19"/>
        <v>0</v>
      </c>
      <c r="AD12" s="1020">
        <f t="shared" si="20"/>
        <v>0</v>
      </c>
      <c r="AE12" s="1537">
        <f t="shared" si="21"/>
        <v>0</v>
      </c>
    </row>
    <row r="13" spans="1:31" s="1023" customFormat="1" ht="30.75" hidden="1" customHeight="1">
      <c r="A13" s="837"/>
      <c r="B13" s="838"/>
      <c r="C13" s="839"/>
      <c r="D13" s="839"/>
      <c r="E13" s="840"/>
      <c r="F13" s="841"/>
      <c r="G13" s="841" t="s">
        <v>7</v>
      </c>
      <c r="H13" s="841">
        <f t="shared" si="0"/>
        <v>240</v>
      </c>
      <c r="I13" s="840">
        <f t="shared" si="10"/>
        <v>1.98</v>
      </c>
      <c r="J13" s="840">
        <f t="shared" si="22"/>
        <v>2.44</v>
      </c>
      <c r="K13" s="840">
        <f t="shared" si="11"/>
        <v>2.44</v>
      </c>
      <c r="L13" s="840">
        <f t="shared" si="1"/>
        <v>2.64</v>
      </c>
      <c r="M13" s="1020">
        <f>ROUND(E13*I13*L13,2)</f>
        <v>0</v>
      </c>
      <c r="N13" s="1020">
        <f t="shared" si="12"/>
        <v>0</v>
      </c>
      <c r="O13" s="1020">
        <f t="shared" si="3"/>
        <v>0</v>
      </c>
      <c r="P13" s="1020">
        <f t="shared" si="4"/>
        <v>0</v>
      </c>
      <c r="Q13" s="1020">
        <f t="shared" si="13"/>
        <v>0</v>
      </c>
      <c r="R13" s="1020">
        <v>0.2</v>
      </c>
      <c r="S13" s="1020">
        <f t="shared" si="5"/>
        <v>0</v>
      </c>
      <c r="T13" s="1020">
        <f t="shared" si="14"/>
        <v>0</v>
      </c>
      <c r="U13" s="1020">
        <f t="shared" si="6"/>
        <v>0</v>
      </c>
      <c r="V13" s="1020">
        <f t="shared" si="7"/>
        <v>0</v>
      </c>
      <c r="W13" s="1020">
        <f t="shared" si="15"/>
        <v>0</v>
      </c>
      <c r="X13" s="1020">
        <f t="shared" si="8"/>
        <v>0</v>
      </c>
      <c r="Y13" s="1020">
        <f t="shared" si="9"/>
        <v>0</v>
      </c>
      <c r="Z13" s="842">
        <f t="shared" si="16"/>
        <v>0</v>
      </c>
      <c r="AA13" s="842">
        <f t="shared" si="17"/>
        <v>0</v>
      </c>
      <c r="AB13" s="842">
        <f t="shared" si="18"/>
        <v>0</v>
      </c>
      <c r="AC13" s="842">
        <f t="shared" si="19"/>
        <v>0</v>
      </c>
      <c r="AD13" s="1020">
        <f t="shared" si="20"/>
        <v>0</v>
      </c>
      <c r="AE13" s="1537">
        <f t="shared" si="21"/>
        <v>0</v>
      </c>
    </row>
    <row r="14" spans="1:31" s="1023" customFormat="1" ht="30.75" hidden="1" customHeight="1">
      <c r="A14" s="837"/>
      <c r="B14" s="838"/>
      <c r="C14" s="839"/>
      <c r="D14" s="839"/>
      <c r="E14" s="840"/>
      <c r="F14" s="841"/>
      <c r="G14" s="841" t="s">
        <v>7</v>
      </c>
      <c r="H14" s="841">
        <f t="shared" si="0"/>
        <v>240</v>
      </c>
      <c r="I14" s="840">
        <f t="shared" si="10"/>
        <v>1.98</v>
      </c>
      <c r="J14" s="840">
        <f t="shared" si="22"/>
        <v>2.44</v>
      </c>
      <c r="K14" s="840">
        <f t="shared" si="11"/>
        <v>2.44</v>
      </c>
      <c r="L14" s="840">
        <f t="shared" si="1"/>
        <v>2.64</v>
      </c>
      <c r="M14" s="1020">
        <f t="shared" si="2"/>
        <v>0</v>
      </c>
      <c r="N14" s="1020">
        <f t="shared" si="12"/>
        <v>0</v>
      </c>
      <c r="O14" s="1020">
        <f t="shared" si="3"/>
        <v>0</v>
      </c>
      <c r="P14" s="1020">
        <f t="shared" si="4"/>
        <v>0</v>
      </c>
      <c r="Q14" s="1020">
        <f t="shared" si="13"/>
        <v>0</v>
      </c>
      <c r="R14" s="1020">
        <v>0.2</v>
      </c>
      <c r="S14" s="1020">
        <f t="shared" si="5"/>
        <v>0</v>
      </c>
      <c r="T14" s="1020">
        <f t="shared" si="14"/>
        <v>0</v>
      </c>
      <c r="U14" s="1020">
        <f t="shared" si="6"/>
        <v>0</v>
      </c>
      <c r="V14" s="1020">
        <f t="shared" si="7"/>
        <v>0</v>
      </c>
      <c r="W14" s="1020">
        <f t="shared" si="15"/>
        <v>0</v>
      </c>
      <c r="X14" s="1020">
        <f t="shared" si="8"/>
        <v>0</v>
      </c>
      <c r="Y14" s="1020">
        <f t="shared" si="9"/>
        <v>0</v>
      </c>
      <c r="Z14" s="842">
        <f t="shared" si="16"/>
        <v>0</v>
      </c>
      <c r="AA14" s="842">
        <f t="shared" si="17"/>
        <v>0</v>
      </c>
      <c r="AB14" s="842">
        <f t="shared" si="18"/>
        <v>0</v>
      </c>
      <c r="AC14" s="842">
        <f t="shared" si="19"/>
        <v>0</v>
      </c>
      <c r="AD14" s="1020">
        <f t="shared" si="20"/>
        <v>0</v>
      </c>
      <c r="AE14" s="1537">
        <f t="shared" si="21"/>
        <v>0</v>
      </c>
    </row>
    <row r="15" spans="1:31" s="1023" customFormat="1" ht="30.75" hidden="1" customHeight="1">
      <c r="A15" s="837"/>
      <c r="B15" s="838"/>
      <c r="C15" s="839"/>
      <c r="D15" s="839"/>
      <c r="E15" s="840"/>
      <c r="F15" s="841"/>
      <c r="G15" s="841" t="s">
        <v>7</v>
      </c>
      <c r="H15" s="841">
        <f t="shared" si="0"/>
        <v>240</v>
      </c>
      <c r="I15" s="840">
        <f t="shared" si="10"/>
        <v>1.98</v>
      </c>
      <c r="J15" s="840">
        <f t="shared" si="22"/>
        <v>2.44</v>
      </c>
      <c r="K15" s="840">
        <f t="shared" si="11"/>
        <v>2.44</v>
      </c>
      <c r="L15" s="840">
        <f t="shared" si="1"/>
        <v>2.64</v>
      </c>
      <c r="M15" s="1020">
        <f t="shared" si="2"/>
        <v>0</v>
      </c>
      <c r="N15" s="1020">
        <f t="shared" si="12"/>
        <v>0</v>
      </c>
      <c r="O15" s="1020">
        <f t="shared" si="3"/>
        <v>0</v>
      </c>
      <c r="P15" s="1020">
        <f t="shared" si="4"/>
        <v>0</v>
      </c>
      <c r="Q15" s="1020">
        <f t="shared" si="13"/>
        <v>0</v>
      </c>
      <c r="R15" s="1020">
        <v>0.2</v>
      </c>
      <c r="S15" s="1020">
        <f t="shared" si="5"/>
        <v>0</v>
      </c>
      <c r="T15" s="1020">
        <f t="shared" si="14"/>
        <v>0</v>
      </c>
      <c r="U15" s="1020">
        <f t="shared" si="6"/>
        <v>0</v>
      </c>
      <c r="V15" s="1020">
        <f t="shared" si="7"/>
        <v>0</v>
      </c>
      <c r="W15" s="1020">
        <f t="shared" si="15"/>
        <v>0</v>
      </c>
      <c r="X15" s="1020">
        <f t="shared" si="8"/>
        <v>0</v>
      </c>
      <c r="Y15" s="1020">
        <f t="shared" si="9"/>
        <v>0</v>
      </c>
      <c r="Z15" s="842">
        <f t="shared" si="16"/>
        <v>0</v>
      </c>
      <c r="AA15" s="842">
        <f t="shared" si="17"/>
        <v>0</v>
      </c>
      <c r="AB15" s="842">
        <f t="shared" si="18"/>
        <v>0</v>
      </c>
      <c r="AC15" s="842">
        <f t="shared" si="19"/>
        <v>0</v>
      </c>
      <c r="AD15" s="1020">
        <f t="shared" si="20"/>
        <v>0</v>
      </c>
      <c r="AE15" s="1537">
        <f t="shared" si="21"/>
        <v>0</v>
      </c>
    </row>
    <row r="16" spans="1:31" s="1023" customFormat="1" ht="30.75" hidden="1" customHeight="1">
      <c r="A16" s="837"/>
      <c r="B16" s="838"/>
      <c r="C16" s="839"/>
      <c r="D16" s="839"/>
      <c r="E16" s="840"/>
      <c r="F16" s="841"/>
      <c r="G16" s="841" t="s">
        <v>7</v>
      </c>
      <c r="H16" s="841">
        <f t="shared" si="0"/>
        <v>240</v>
      </c>
      <c r="I16" s="840">
        <f t="shared" si="10"/>
        <v>1.98</v>
      </c>
      <c r="J16" s="840">
        <f t="shared" si="22"/>
        <v>2.44</v>
      </c>
      <c r="K16" s="840">
        <f t="shared" si="11"/>
        <v>2.44</v>
      </c>
      <c r="L16" s="840">
        <f t="shared" si="1"/>
        <v>2.64</v>
      </c>
      <c r="M16" s="1020">
        <f t="shared" si="2"/>
        <v>0</v>
      </c>
      <c r="N16" s="1020">
        <f t="shared" si="12"/>
        <v>0</v>
      </c>
      <c r="O16" s="1020">
        <f t="shared" si="3"/>
        <v>0</v>
      </c>
      <c r="P16" s="1020">
        <f t="shared" si="4"/>
        <v>0</v>
      </c>
      <c r="Q16" s="1020">
        <f t="shared" si="13"/>
        <v>0</v>
      </c>
      <c r="R16" s="1020">
        <v>0.2</v>
      </c>
      <c r="S16" s="1020">
        <f t="shared" si="5"/>
        <v>0</v>
      </c>
      <c r="T16" s="1020">
        <f t="shared" si="14"/>
        <v>0</v>
      </c>
      <c r="U16" s="1020">
        <f t="shared" si="6"/>
        <v>0</v>
      </c>
      <c r="V16" s="1020">
        <f t="shared" si="7"/>
        <v>0</v>
      </c>
      <c r="W16" s="1020">
        <f t="shared" si="15"/>
        <v>0</v>
      </c>
      <c r="X16" s="1020">
        <f t="shared" si="8"/>
        <v>0</v>
      </c>
      <c r="Y16" s="1020">
        <f t="shared" si="9"/>
        <v>0</v>
      </c>
      <c r="Z16" s="842">
        <f t="shared" si="16"/>
        <v>0</v>
      </c>
      <c r="AA16" s="842">
        <f t="shared" si="17"/>
        <v>0</v>
      </c>
      <c r="AB16" s="842">
        <f t="shared" si="18"/>
        <v>0</v>
      </c>
      <c r="AC16" s="842">
        <f t="shared" si="19"/>
        <v>0</v>
      </c>
      <c r="AD16" s="1020">
        <f t="shared" si="20"/>
        <v>0</v>
      </c>
      <c r="AE16" s="1537">
        <f t="shared" si="21"/>
        <v>0</v>
      </c>
    </row>
    <row r="17" spans="1:31" s="1023" customFormat="1" ht="30.75" hidden="1" customHeight="1">
      <c r="A17" s="837"/>
      <c r="B17" s="838"/>
      <c r="C17" s="839"/>
      <c r="D17" s="839"/>
      <c r="E17" s="840"/>
      <c r="F17" s="841"/>
      <c r="G17" s="841" t="s">
        <v>7</v>
      </c>
      <c r="H17" s="841">
        <f t="shared" si="0"/>
        <v>240</v>
      </c>
      <c r="I17" s="840">
        <f t="shared" si="10"/>
        <v>1.98</v>
      </c>
      <c r="J17" s="840">
        <f t="shared" si="22"/>
        <v>2.44</v>
      </c>
      <c r="K17" s="840">
        <f t="shared" si="11"/>
        <v>2.44</v>
      </c>
      <c r="L17" s="840">
        <f t="shared" si="1"/>
        <v>2.64</v>
      </c>
      <c r="M17" s="1020">
        <f t="shared" si="2"/>
        <v>0</v>
      </c>
      <c r="N17" s="1020">
        <f t="shared" si="12"/>
        <v>0</v>
      </c>
      <c r="O17" s="1020">
        <f t="shared" si="3"/>
        <v>0</v>
      </c>
      <c r="P17" s="1020">
        <f t="shared" si="4"/>
        <v>0</v>
      </c>
      <c r="Q17" s="1020">
        <f t="shared" si="13"/>
        <v>0</v>
      </c>
      <c r="R17" s="1020">
        <v>0.2</v>
      </c>
      <c r="S17" s="1020">
        <f t="shared" si="5"/>
        <v>0</v>
      </c>
      <c r="T17" s="1020">
        <f t="shared" si="14"/>
        <v>0</v>
      </c>
      <c r="U17" s="1020">
        <f t="shared" si="6"/>
        <v>0</v>
      </c>
      <c r="V17" s="1020">
        <f t="shared" si="7"/>
        <v>0</v>
      </c>
      <c r="W17" s="1020">
        <f t="shared" si="15"/>
        <v>0</v>
      </c>
      <c r="X17" s="1020">
        <f t="shared" si="8"/>
        <v>0</v>
      </c>
      <c r="Y17" s="1020">
        <f t="shared" si="9"/>
        <v>0</v>
      </c>
      <c r="Z17" s="842">
        <f t="shared" si="16"/>
        <v>0</v>
      </c>
      <c r="AA17" s="842">
        <f t="shared" si="17"/>
        <v>0</v>
      </c>
      <c r="AB17" s="842">
        <f t="shared" si="18"/>
        <v>0</v>
      </c>
      <c r="AC17" s="842">
        <f t="shared" si="19"/>
        <v>0</v>
      </c>
      <c r="AD17" s="1020">
        <f t="shared" si="20"/>
        <v>0</v>
      </c>
      <c r="AE17" s="1537">
        <f t="shared" si="21"/>
        <v>0</v>
      </c>
    </row>
    <row r="18" spans="1:31" s="1023" customFormat="1" ht="30.75" hidden="1" customHeight="1">
      <c r="A18" s="837"/>
      <c r="B18" s="838"/>
      <c r="C18" s="839"/>
      <c r="D18" s="839"/>
      <c r="E18" s="840"/>
      <c r="F18" s="841"/>
      <c r="G18" s="841" t="s">
        <v>7</v>
      </c>
      <c r="H18" s="841">
        <f t="shared" si="0"/>
        <v>240</v>
      </c>
      <c r="I18" s="840">
        <f t="shared" si="10"/>
        <v>1.98</v>
      </c>
      <c r="J18" s="840">
        <f t="shared" si="22"/>
        <v>2.44</v>
      </c>
      <c r="K18" s="840">
        <f t="shared" si="11"/>
        <v>2.44</v>
      </c>
      <c r="L18" s="840">
        <f t="shared" si="1"/>
        <v>2.64</v>
      </c>
      <c r="M18" s="1020">
        <f t="shared" si="2"/>
        <v>0</v>
      </c>
      <c r="N18" s="1020">
        <f t="shared" si="12"/>
        <v>0</v>
      </c>
      <c r="O18" s="1020">
        <f t="shared" si="3"/>
        <v>0</v>
      </c>
      <c r="P18" s="1020">
        <f t="shared" si="4"/>
        <v>0</v>
      </c>
      <c r="Q18" s="1020">
        <f t="shared" si="13"/>
        <v>0</v>
      </c>
      <c r="R18" s="1020">
        <v>0.2</v>
      </c>
      <c r="S18" s="1020">
        <f t="shared" si="5"/>
        <v>0</v>
      </c>
      <c r="T18" s="1020">
        <f t="shared" si="14"/>
        <v>0</v>
      </c>
      <c r="U18" s="1020">
        <f t="shared" si="6"/>
        <v>0</v>
      </c>
      <c r="V18" s="1020">
        <f t="shared" si="7"/>
        <v>0</v>
      </c>
      <c r="W18" s="1020">
        <f t="shared" si="15"/>
        <v>0</v>
      </c>
      <c r="X18" s="1020">
        <f t="shared" si="8"/>
        <v>0</v>
      </c>
      <c r="Y18" s="1020">
        <f t="shared" si="9"/>
        <v>0</v>
      </c>
      <c r="Z18" s="842">
        <f t="shared" si="16"/>
        <v>0</v>
      </c>
      <c r="AA18" s="842">
        <f t="shared" si="17"/>
        <v>0</v>
      </c>
      <c r="AB18" s="842">
        <f t="shared" si="18"/>
        <v>0</v>
      </c>
      <c r="AC18" s="842">
        <f t="shared" si="19"/>
        <v>0</v>
      </c>
      <c r="AD18" s="1020">
        <f t="shared" si="20"/>
        <v>0</v>
      </c>
      <c r="AE18" s="1537">
        <f t="shared" si="21"/>
        <v>0</v>
      </c>
    </row>
    <row r="19" spans="1:31" s="1023" customFormat="1" ht="30.75" hidden="1" customHeight="1">
      <c r="A19" s="837"/>
      <c r="B19" s="838"/>
      <c r="C19" s="839"/>
      <c r="D19" s="839"/>
      <c r="E19" s="840"/>
      <c r="F19" s="841"/>
      <c r="G19" s="841" t="s">
        <v>7</v>
      </c>
      <c r="H19" s="841">
        <f t="shared" si="0"/>
        <v>240</v>
      </c>
      <c r="I19" s="840">
        <f t="shared" si="10"/>
        <v>1.98</v>
      </c>
      <c r="J19" s="840">
        <f t="shared" si="22"/>
        <v>2.44</v>
      </c>
      <c r="K19" s="840">
        <f t="shared" si="11"/>
        <v>2.44</v>
      </c>
      <c r="L19" s="840">
        <f t="shared" si="1"/>
        <v>2.64</v>
      </c>
      <c r="M19" s="1020">
        <f t="shared" si="2"/>
        <v>0</v>
      </c>
      <c r="N19" s="1020">
        <f t="shared" si="12"/>
        <v>0</v>
      </c>
      <c r="O19" s="1020">
        <f t="shared" si="3"/>
        <v>0</v>
      </c>
      <c r="P19" s="1020">
        <f t="shared" si="4"/>
        <v>0</v>
      </c>
      <c r="Q19" s="1020">
        <f t="shared" si="13"/>
        <v>0</v>
      </c>
      <c r="R19" s="1020">
        <v>0.2</v>
      </c>
      <c r="S19" s="1020">
        <f t="shared" si="5"/>
        <v>0</v>
      </c>
      <c r="T19" s="1020">
        <f t="shared" si="14"/>
        <v>0</v>
      </c>
      <c r="U19" s="1020">
        <f t="shared" si="6"/>
        <v>0</v>
      </c>
      <c r="V19" s="1020">
        <f t="shared" si="7"/>
        <v>0</v>
      </c>
      <c r="W19" s="1020">
        <f t="shared" si="15"/>
        <v>0</v>
      </c>
      <c r="X19" s="1020">
        <f t="shared" si="8"/>
        <v>0</v>
      </c>
      <c r="Y19" s="1020">
        <f t="shared" si="9"/>
        <v>0</v>
      </c>
      <c r="Z19" s="842">
        <f t="shared" si="16"/>
        <v>0</v>
      </c>
      <c r="AA19" s="842">
        <f t="shared" si="17"/>
        <v>0</v>
      </c>
      <c r="AB19" s="842">
        <f t="shared" si="18"/>
        <v>0</v>
      </c>
      <c r="AC19" s="842">
        <f t="shared" si="19"/>
        <v>0</v>
      </c>
      <c r="AD19" s="1020">
        <f t="shared" si="20"/>
        <v>0</v>
      </c>
      <c r="AE19" s="1537">
        <f t="shared" si="21"/>
        <v>0</v>
      </c>
    </row>
    <row r="20" spans="1:31" s="1023" customFormat="1" ht="30.75" hidden="1" customHeight="1">
      <c r="A20" s="837"/>
      <c r="B20" s="838"/>
      <c r="C20" s="839"/>
      <c r="D20" s="839"/>
      <c r="E20" s="840"/>
      <c r="F20" s="841"/>
      <c r="G20" s="841"/>
      <c r="H20" s="841">
        <f t="shared" si="0"/>
        <v>240</v>
      </c>
      <c r="I20" s="840">
        <f t="shared" si="10"/>
        <v>3.96</v>
      </c>
      <c r="J20" s="840"/>
      <c r="K20" s="840">
        <f t="shared" si="11"/>
        <v>0.84</v>
      </c>
      <c r="L20" s="840">
        <f t="shared" si="1"/>
        <v>1.04</v>
      </c>
      <c r="M20" s="1020">
        <f t="shared" si="2"/>
        <v>0</v>
      </c>
      <c r="N20" s="1020">
        <f t="shared" ref="N20:N83" si="23">ROUND(E20*I20*L20,2)*0.4</f>
        <v>0</v>
      </c>
      <c r="O20" s="1020">
        <f t="shared" si="3"/>
        <v>0</v>
      </c>
      <c r="P20" s="1020">
        <f t="shared" si="4"/>
        <v>0</v>
      </c>
      <c r="Q20" s="1020">
        <f t="shared" ref="Q20:Q83" si="24">ROUND(E20*I20*L20,2)*0.6</f>
        <v>0</v>
      </c>
      <c r="R20" s="1020">
        <v>0.2</v>
      </c>
      <c r="S20" s="1020">
        <f t="shared" si="5"/>
        <v>0</v>
      </c>
      <c r="T20" s="1020">
        <f t="shared" si="14"/>
        <v>0</v>
      </c>
      <c r="U20" s="1020">
        <f t="shared" si="6"/>
        <v>0</v>
      </c>
      <c r="V20" s="1020">
        <f t="shared" si="7"/>
        <v>0</v>
      </c>
      <c r="W20" s="1020">
        <f t="shared" si="15"/>
        <v>0</v>
      </c>
      <c r="X20" s="1020">
        <f t="shared" si="8"/>
        <v>0</v>
      </c>
      <c r="Y20" s="1020">
        <f t="shared" si="9"/>
        <v>0</v>
      </c>
      <c r="Z20" s="842">
        <f t="shared" si="16"/>
        <v>0</v>
      </c>
      <c r="AA20" s="842">
        <f t="shared" si="17"/>
        <v>0</v>
      </c>
      <c r="AB20" s="842">
        <f t="shared" si="18"/>
        <v>0</v>
      </c>
      <c r="AC20" s="842">
        <f t="shared" si="19"/>
        <v>0</v>
      </c>
      <c r="AD20" s="1020">
        <f t="shared" si="20"/>
        <v>0</v>
      </c>
      <c r="AE20" s="1537">
        <f t="shared" si="21"/>
        <v>0</v>
      </c>
    </row>
    <row r="21" spans="1:31" s="1023" customFormat="1" ht="30.75" customHeight="1">
      <c r="A21" s="837" t="s">
        <v>1199</v>
      </c>
      <c r="B21" s="838"/>
      <c r="C21" s="839"/>
      <c r="D21" s="839"/>
      <c r="E21" s="840"/>
      <c r="F21" s="841">
        <v>800</v>
      </c>
      <c r="G21" s="841" t="s">
        <v>1200</v>
      </c>
      <c r="H21" s="841">
        <f t="shared" si="0"/>
        <v>944</v>
      </c>
      <c r="I21" s="840">
        <f t="shared" si="10"/>
        <v>1.69</v>
      </c>
      <c r="J21" s="840">
        <f>H21/1000+0.7</f>
        <v>1.64</v>
      </c>
      <c r="K21" s="840">
        <f t="shared" si="11"/>
        <v>1.64</v>
      </c>
      <c r="L21" s="840">
        <f t="shared" si="1"/>
        <v>1.84</v>
      </c>
      <c r="M21" s="1020">
        <f t="shared" si="2"/>
        <v>0</v>
      </c>
      <c r="N21" s="1020">
        <f t="shared" si="23"/>
        <v>0</v>
      </c>
      <c r="O21" s="1020">
        <f t="shared" si="3"/>
        <v>0</v>
      </c>
      <c r="P21" s="1020">
        <f t="shared" si="4"/>
        <v>0</v>
      </c>
      <c r="Q21" s="1020">
        <f t="shared" si="24"/>
        <v>0</v>
      </c>
      <c r="R21" s="1020">
        <v>0.2</v>
      </c>
      <c r="S21" s="1020">
        <f t="shared" si="5"/>
        <v>0</v>
      </c>
      <c r="T21" s="1020">
        <f t="shared" si="14"/>
        <v>0</v>
      </c>
      <c r="U21" s="1020">
        <f t="shared" si="6"/>
        <v>0</v>
      </c>
      <c r="V21" s="1020">
        <f t="shared" si="7"/>
        <v>0</v>
      </c>
      <c r="W21" s="1020">
        <f t="shared" si="15"/>
        <v>0</v>
      </c>
      <c r="X21" s="1020">
        <f t="shared" si="8"/>
        <v>0</v>
      </c>
      <c r="Y21" s="1020">
        <f t="shared" si="9"/>
        <v>0</v>
      </c>
      <c r="Z21" s="842">
        <f t="shared" si="16"/>
        <v>0</v>
      </c>
      <c r="AA21" s="842">
        <f t="shared" si="17"/>
        <v>0</v>
      </c>
      <c r="AB21" s="842">
        <f t="shared" si="18"/>
        <v>0</v>
      </c>
      <c r="AC21" s="842">
        <f t="shared" si="19"/>
        <v>0</v>
      </c>
      <c r="AD21" s="1020">
        <f t="shared" si="20"/>
        <v>0</v>
      </c>
      <c r="AE21" s="1537">
        <f t="shared" si="21"/>
        <v>0</v>
      </c>
    </row>
    <row r="22" spans="1:31" s="1023" customFormat="1" ht="30.75" hidden="1" customHeight="1">
      <c r="A22" s="837"/>
      <c r="B22" s="838"/>
      <c r="C22" s="839"/>
      <c r="D22" s="839"/>
      <c r="E22" s="840"/>
      <c r="F22" s="841"/>
      <c r="G22" s="841"/>
      <c r="H22" s="841">
        <f t="shared" si="0"/>
        <v>240</v>
      </c>
      <c r="I22" s="840">
        <f t="shared" si="10"/>
        <v>3.96</v>
      </c>
      <c r="J22" s="840"/>
      <c r="K22" s="840">
        <f t="shared" si="11"/>
        <v>0.84</v>
      </c>
      <c r="L22" s="840">
        <f t="shared" si="1"/>
        <v>1.04</v>
      </c>
      <c r="M22" s="1020">
        <f t="shared" si="2"/>
        <v>0</v>
      </c>
      <c r="N22" s="1020">
        <f t="shared" si="23"/>
        <v>0</v>
      </c>
      <c r="O22" s="1020">
        <f t="shared" si="3"/>
        <v>0</v>
      </c>
      <c r="P22" s="1020">
        <f t="shared" si="4"/>
        <v>0</v>
      </c>
      <c r="Q22" s="1020">
        <f t="shared" si="24"/>
        <v>0</v>
      </c>
      <c r="R22" s="1020">
        <v>0.2</v>
      </c>
      <c r="S22" s="1020">
        <f t="shared" si="5"/>
        <v>0</v>
      </c>
      <c r="T22" s="1020">
        <f t="shared" si="14"/>
        <v>0</v>
      </c>
      <c r="U22" s="1020">
        <f t="shared" si="6"/>
        <v>0</v>
      </c>
      <c r="V22" s="1020">
        <f t="shared" si="7"/>
        <v>0</v>
      </c>
      <c r="W22" s="1020">
        <f t="shared" si="15"/>
        <v>0</v>
      </c>
      <c r="X22" s="1020">
        <f t="shared" si="8"/>
        <v>0</v>
      </c>
      <c r="Y22" s="1020">
        <f t="shared" si="9"/>
        <v>0</v>
      </c>
      <c r="Z22" s="842">
        <f t="shared" si="16"/>
        <v>0</v>
      </c>
      <c r="AA22" s="842">
        <f t="shared" si="17"/>
        <v>0</v>
      </c>
      <c r="AB22" s="842">
        <f t="shared" si="18"/>
        <v>0</v>
      </c>
      <c r="AC22" s="842">
        <f t="shared" si="19"/>
        <v>0</v>
      </c>
      <c r="AD22" s="1020">
        <f t="shared" si="20"/>
        <v>0</v>
      </c>
      <c r="AE22" s="1537">
        <f t="shared" si="21"/>
        <v>0</v>
      </c>
    </row>
    <row r="23" spans="1:31" s="1023" customFormat="1" ht="30.75" hidden="1" customHeight="1">
      <c r="A23" s="837"/>
      <c r="B23" s="838"/>
      <c r="C23" s="839"/>
      <c r="D23" s="839"/>
      <c r="E23" s="840"/>
      <c r="F23" s="841"/>
      <c r="G23" s="841"/>
      <c r="H23" s="841">
        <f t="shared" si="0"/>
        <v>240</v>
      </c>
      <c r="I23" s="840">
        <f t="shared" si="10"/>
        <v>3.96</v>
      </c>
      <c r="J23" s="840"/>
      <c r="K23" s="840">
        <f t="shared" si="11"/>
        <v>0.84</v>
      </c>
      <c r="L23" s="840">
        <f t="shared" si="1"/>
        <v>1.04</v>
      </c>
      <c r="M23" s="1020">
        <f t="shared" si="2"/>
        <v>0</v>
      </c>
      <c r="N23" s="1020">
        <f t="shared" si="23"/>
        <v>0</v>
      </c>
      <c r="O23" s="1020">
        <f t="shared" si="3"/>
        <v>0</v>
      </c>
      <c r="P23" s="1020">
        <f t="shared" si="4"/>
        <v>0</v>
      </c>
      <c r="Q23" s="1020">
        <f t="shared" si="24"/>
        <v>0</v>
      </c>
      <c r="R23" s="1020">
        <v>0.2</v>
      </c>
      <c r="S23" s="1020">
        <f t="shared" si="5"/>
        <v>0</v>
      </c>
      <c r="T23" s="1020">
        <f t="shared" si="14"/>
        <v>0</v>
      </c>
      <c r="U23" s="1020">
        <f t="shared" si="6"/>
        <v>0</v>
      </c>
      <c r="V23" s="1020">
        <f t="shared" si="7"/>
        <v>0</v>
      </c>
      <c r="W23" s="1020">
        <f t="shared" si="15"/>
        <v>0</v>
      </c>
      <c r="X23" s="1020">
        <f t="shared" si="8"/>
        <v>0</v>
      </c>
      <c r="Y23" s="1020">
        <f t="shared" si="9"/>
        <v>0</v>
      </c>
      <c r="Z23" s="842">
        <f t="shared" si="16"/>
        <v>0</v>
      </c>
      <c r="AA23" s="842">
        <f t="shared" si="17"/>
        <v>0</v>
      </c>
      <c r="AB23" s="842">
        <f t="shared" si="18"/>
        <v>0</v>
      </c>
      <c r="AC23" s="842">
        <f t="shared" si="19"/>
        <v>0</v>
      </c>
      <c r="AD23" s="1020">
        <f t="shared" si="20"/>
        <v>0</v>
      </c>
      <c r="AE23" s="1537">
        <f t="shared" si="21"/>
        <v>0</v>
      </c>
    </row>
    <row r="24" spans="1:31" s="1023" customFormat="1" ht="30.75" hidden="1" customHeight="1">
      <c r="A24" s="837"/>
      <c r="B24" s="838"/>
      <c r="C24" s="841"/>
      <c r="D24" s="841"/>
      <c r="E24" s="840"/>
      <c r="F24" s="841"/>
      <c r="G24" s="841"/>
      <c r="H24" s="841">
        <f t="shared" si="0"/>
        <v>240</v>
      </c>
      <c r="I24" s="840">
        <f t="shared" si="10"/>
        <v>3.96</v>
      </c>
      <c r="J24" s="840"/>
      <c r="K24" s="840">
        <f t="shared" si="11"/>
        <v>0.84</v>
      </c>
      <c r="L24" s="840">
        <f t="shared" si="1"/>
        <v>1.04</v>
      </c>
      <c r="M24" s="1020">
        <f t="shared" si="2"/>
        <v>0</v>
      </c>
      <c r="N24" s="1020">
        <f t="shared" si="23"/>
        <v>0</v>
      </c>
      <c r="O24" s="1020">
        <f t="shared" si="3"/>
        <v>0</v>
      </c>
      <c r="P24" s="1020">
        <f t="shared" si="4"/>
        <v>0</v>
      </c>
      <c r="Q24" s="1020">
        <f t="shared" si="24"/>
        <v>0</v>
      </c>
      <c r="R24" s="1020">
        <v>0.2</v>
      </c>
      <c r="S24" s="1020">
        <f t="shared" si="5"/>
        <v>0</v>
      </c>
      <c r="T24" s="1020">
        <f t="shared" si="14"/>
        <v>0</v>
      </c>
      <c r="U24" s="1020">
        <f t="shared" si="6"/>
        <v>0</v>
      </c>
      <c r="V24" s="1020">
        <f t="shared" si="7"/>
        <v>0</v>
      </c>
      <c r="W24" s="1020">
        <f t="shared" si="15"/>
        <v>0</v>
      </c>
      <c r="X24" s="1020">
        <f t="shared" si="8"/>
        <v>0</v>
      </c>
      <c r="Y24" s="1020">
        <f t="shared" si="9"/>
        <v>0</v>
      </c>
      <c r="Z24" s="842">
        <f t="shared" si="16"/>
        <v>0</v>
      </c>
      <c r="AA24" s="842">
        <f t="shared" si="17"/>
        <v>0</v>
      </c>
      <c r="AB24" s="842">
        <f t="shared" si="17"/>
        <v>0</v>
      </c>
      <c r="AC24" s="842">
        <f t="shared" si="19"/>
        <v>0</v>
      </c>
      <c r="AD24" s="1020">
        <f t="shared" si="20"/>
        <v>0</v>
      </c>
      <c r="AE24" s="1537">
        <f t="shared" si="21"/>
        <v>0</v>
      </c>
    </row>
    <row r="25" spans="1:31" s="1023" customFormat="1" ht="30.75" hidden="1" customHeight="1">
      <c r="A25" s="837"/>
      <c r="B25" s="838"/>
      <c r="C25" s="841"/>
      <c r="D25" s="841"/>
      <c r="E25" s="840"/>
      <c r="F25" s="841"/>
      <c r="G25" s="841"/>
      <c r="H25" s="841">
        <f t="shared" si="0"/>
        <v>240</v>
      </c>
      <c r="I25" s="840">
        <f t="shared" si="10"/>
        <v>3.96</v>
      </c>
      <c r="J25" s="840"/>
      <c r="K25" s="840">
        <f t="shared" si="11"/>
        <v>0.84</v>
      </c>
      <c r="L25" s="840">
        <f t="shared" si="1"/>
        <v>1.04</v>
      </c>
      <c r="M25" s="1020">
        <f t="shared" si="2"/>
        <v>0</v>
      </c>
      <c r="N25" s="1020">
        <f t="shared" si="23"/>
        <v>0</v>
      </c>
      <c r="O25" s="1020">
        <f t="shared" si="3"/>
        <v>0</v>
      </c>
      <c r="P25" s="1020">
        <f t="shared" si="4"/>
        <v>0</v>
      </c>
      <c r="Q25" s="1020">
        <f t="shared" si="24"/>
        <v>0</v>
      </c>
      <c r="R25" s="1020">
        <v>0.2</v>
      </c>
      <c r="S25" s="1020">
        <f t="shared" si="5"/>
        <v>0</v>
      </c>
      <c r="T25" s="1020">
        <f t="shared" si="14"/>
        <v>0</v>
      </c>
      <c r="U25" s="1020">
        <f t="shared" si="6"/>
        <v>0</v>
      </c>
      <c r="V25" s="1020">
        <f t="shared" si="7"/>
        <v>0</v>
      </c>
      <c r="W25" s="1020">
        <f t="shared" si="15"/>
        <v>0</v>
      </c>
      <c r="X25" s="1020">
        <f t="shared" si="8"/>
        <v>0</v>
      </c>
      <c r="Y25" s="1020">
        <f t="shared" si="9"/>
        <v>0</v>
      </c>
      <c r="Z25" s="842">
        <f t="shared" ref="Z25:Z88" si="25">ROUND(Y25*1.3*4,2)</f>
        <v>0</v>
      </c>
      <c r="AA25" s="842">
        <f t="shared" si="17"/>
        <v>0</v>
      </c>
      <c r="AB25" s="842">
        <f t="shared" si="17"/>
        <v>0</v>
      </c>
      <c r="AC25" s="842">
        <f t="shared" si="19"/>
        <v>0</v>
      </c>
      <c r="AD25" s="1020">
        <f t="shared" si="20"/>
        <v>0</v>
      </c>
      <c r="AE25" s="1537">
        <f t="shared" si="21"/>
        <v>0</v>
      </c>
    </row>
    <row r="26" spans="1:31" s="1023" customFormat="1" ht="30.75" hidden="1" customHeight="1">
      <c r="A26" s="837"/>
      <c r="B26" s="838"/>
      <c r="C26" s="841"/>
      <c r="D26" s="841"/>
      <c r="E26" s="840"/>
      <c r="F26" s="841"/>
      <c r="G26" s="841"/>
      <c r="H26" s="841">
        <f t="shared" si="0"/>
        <v>240</v>
      </c>
      <c r="I26" s="840">
        <f t="shared" si="10"/>
        <v>3.96</v>
      </c>
      <c r="J26" s="840"/>
      <c r="K26" s="840">
        <f t="shared" si="11"/>
        <v>0.84</v>
      </c>
      <c r="L26" s="840">
        <f t="shared" si="1"/>
        <v>1.04</v>
      </c>
      <c r="M26" s="1020">
        <f t="shared" si="2"/>
        <v>0</v>
      </c>
      <c r="N26" s="1020">
        <f t="shared" si="23"/>
        <v>0</v>
      </c>
      <c r="O26" s="1020">
        <f t="shared" si="3"/>
        <v>0</v>
      </c>
      <c r="P26" s="1020">
        <f t="shared" si="4"/>
        <v>0</v>
      </c>
      <c r="Q26" s="1020">
        <f t="shared" si="24"/>
        <v>0</v>
      </c>
      <c r="R26" s="1020">
        <v>0.2</v>
      </c>
      <c r="S26" s="1020">
        <f t="shared" si="5"/>
        <v>0</v>
      </c>
      <c r="T26" s="1020">
        <f t="shared" si="14"/>
        <v>0</v>
      </c>
      <c r="U26" s="1020">
        <f t="shared" si="6"/>
        <v>0</v>
      </c>
      <c r="V26" s="1020">
        <f t="shared" si="7"/>
        <v>0</v>
      </c>
      <c r="W26" s="1020">
        <f t="shared" si="15"/>
        <v>0</v>
      </c>
      <c r="X26" s="1020">
        <f t="shared" si="8"/>
        <v>0</v>
      </c>
      <c r="Y26" s="1020">
        <f t="shared" si="9"/>
        <v>0</v>
      </c>
      <c r="Z26" s="842">
        <f t="shared" si="25"/>
        <v>0</v>
      </c>
      <c r="AA26" s="842">
        <f t="shared" si="17"/>
        <v>0</v>
      </c>
      <c r="AB26" s="842">
        <f t="shared" si="17"/>
        <v>0</v>
      </c>
      <c r="AC26" s="842">
        <f t="shared" si="19"/>
        <v>0</v>
      </c>
      <c r="AD26" s="1020">
        <f t="shared" si="20"/>
        <v>0</v>
      </c>
      <c r="AE26" s="1537">
        <f t="shared" si="21"/>
        <v>0</v>
      </c>
    </row>
    <row r="27" spans="1:31" s="1023" customFormat="1" ht="30.75" hidden="1" customHeight="1">
      <c r="A27" s="837"/>
      <c r="B27" s="838"/>
      <c r="C27" s="841"/>
      <c r="D27" s="841"/>
      <c r="E27" s="840"/>
      <c r="F27" s="841"/>
      <c r="G27" s="841"/>
      <c r="H27" s="841">
        <f t="shared" si="0"/>
        <v>240</v>
      </c>
      <c r="I27" s="840">
        <f t="shared" si="10"/>
        <v>3.96</v>
      </c>
      <c r="J27" s="840"/>
      <c r="K27" s="840">
        <f t="shared" si="11"/>
        <v>0.84</v>
      </c>
      <c r="L27" s="840">
        <f t="shared" si="1"/>
        <v>1.04</v>
      </c>
      <c r="M27" s="1020">
        <f t="shared" si="2"/>
        <v>0</v>
      </c>
      <c r="N27" s="1020">
        <f t="shared" si="23"/>
        <v>0</v>
      </c>
      <c r="O27" s="1020">
        <f t="shared" si="3"/>
        <v>0</v>
      </c>
      <c r="P27" s="1020">
        <f t="shared" si="4"/>
        <v>0</v>
      </c>
      <c r="Q27" s="1020">
        <f t="shared" si="24"/>
        <v>0</v>
      </c>
      <c r="R27" s="1020">
        <v>0.2</v>
      </c>
      <c r="S27" s="1020">
        <f t="shared" si="5"/>
        <v>0</v>
      </c>
      <c r="T27" s="1020">
        <f t="shared" si="14"/>
        <v>0</v>
      </c>
      <c r="U27" s="1020">
        <f t="shared" si="6"/>
        <v>0</v>
      </c>
      <c r="V27" s="1020">
        <f t="shared" si="7"/>
        <v>0</v>
      </c>
      <c r="W27" s="1020">
        <f t="shared" si="15"/>
        <v>0</v>
      </c>
      <c r="X27" s="1020">
        <f t="shared" si="8"/>
        <v>0</v>
      </c>
      <c r="Y27" s="1020">
        <f t="shared" si="9"/>
        <v>0</v>
      </c>
      <c r="Z27" s="842">
        <f t="shared" si="25"/>
        <v>0</v>
      </c>
      <c r="AA27" s="842">
        <f t="shared" si="17"/>
        <v>0</v>
      </c>
      <c r="AB27" s="842">
        <f t="shared" si="17"/>
        <v>0</v>
      </c>
      <c r="AC27" s="842">
        <f t="shared" si="19"/>
        <v>0</v>
      </c>
      <c r="AD27" s="1020">
        <f t="shared" si="20"/>
        <v>0</v>
      </c>
      <c r="AE27" s="1537">
        <f t="shared" si="21"/>
        <v>0</v>
      </c>
    </row>
    <row r="28" spans="1:31" s="1023" customFormat="1" ht="30.75" hidden="1" customHeight="1">
      <c r="A28" s="837"/>
      <c r="B28" s="838"/>
      <c r="C28" s="841"/>
      <c r="D28" s="841"/>
      <c r="E28" s="840"/>
      <c r="F28" s="841"/>
      <c r="G28" s="841"/>
      <c r="H28" s="841">
        <f t="shared" si="0"/>
        <v>240</v>
      </c>
      <c r="I28" s="840">
        <f t="shared" si="10"/>
        <v>3.96</v>
      </c>
      <c r="J28" s="840"/>
      <c r="K28" s="840">
        <f t="shared" si="11"/>
        <v>0.84</v>
      </c>
      <c r="L28" s="840">
        <f t="shared" si="1"/>
        <v>1.04</v>
      </c>
      <c r="M28" s="1020">
        <f t="shared" si="2"/>
        <v>0</v>
      </c>
      <c r="N28" s="1020">
        <f t="shared" si="23"/>
        <v>0</v>
      </c>
      <c r="O28" s="1020">
        <f t="shared" si="3"/>
        <v>0</v>
      </c>
      <c r="P28" s="1020">
        <f t="shared" si="4"/>
        <v>0</v>
      </c>
      <c r="Q28" s="1020">
        <f t="shared" si="24"/>
        <v>0</v>
      </c>
      <c r="R28" s="1020">
        <v>0.2</v>
      </c>
      <c r="S28" s="1020">
        <f t="shared" si="5"/>
        <v>0</v>
      </c>
      <c r="T28" s="1020">
        <f t="shared" si="14"/>
        <v>0</v>
      </c>
      <c r="U28" s="1020">
        <f t="shared" si="6"/>
        <v>0</v>
      </c>
      <c r="V28" s="1020">
        <f t="shared" si="7"/>
        <v>0</v>
      </c>
      <c r="W28" s="1020">
        <f t="shared" si="15"/>
        <v>0</v>
      </c>
      <c r="X28" s="1020">
        <f t="shared" si="8"/>
        <v>0</v>
      </c>
      <c r="Y28" s="1020">
        <f t="shared" si="9"/>
        <v>0</v>
      </c>
      <c r="Z28" s="842">
        <f t="shared" si="25"/>
        <v>0</v>
      </c>
      <c r="AA28" s="842">
        <f t="shared" ref="AA28:AB72" si="26">ROUND(W28*22,2)</f>
        <v>0</v>
      </c>
      <c r="AB28" s="842">
        <f t="shared" si="26"/>
        <v>0</v>
      </c>
      <c r="AC28" s="842">
        <f t="shared" si="19"/>
        <v>0</v>
      </c>
      <c r="AD28" s="1020">
        <f t="shared" si="20"/>
        <v>0</v>
      </c>
      <c r="AE28" s="1537">
        <f t="shared" si="21"/>
        <v>0</v>
      </c>
    </row>
    <row r="29" spans="1:31" s="1021" customFormat="1" ht="30.75" hidden="1" customHeight="1">
      <c r="A29" s="837"/>
      <c r="B29" s="838"/>
      <c r="C29" s="841"/>
      <c r="D29" s="841"/>
      <c r="E29" s="840"/>
      <c r="F29" s="841"/>
      <c r="G29" s="841"/>
      <c r="H29" s="841">
        <f t="shared" si="0"/>
        <v>240</v>
      </c>
      <c r="I29" s="840">
        <f t="shared" si="10"/>
        <v>3.96</v>
      </c>
      <c r="J29" s="840"/>
      <c r="K29" s="840">
        <f t="shared" si="11"/>
        <v>0.84</v>
      </c>
      <c r="L29" s="840">
        <f t="shared" si="1"/>
        <v>1.04</v>
      </c>
      <c r="M29" s="1020">
        <f t="shared" si="2"/>
        <v>0</v>
      </c>
      <c r="N29" s="1020">
        <f t="shared" si="23"/>
        <v>0</v>
      </c>
      <c r="O29" s="1020">
        <f t="shared" si="3"/>
        <v>0</v>
      </c>
      <c r="P29" s="1020">
        <f t="shared" si="4"/>
        <v>0</v>
      </c>
      <c r="Q29" s="1020">
        <f t="shared" si="24"/>
        <v>0</v>
      </c>
      <c r="R29" s="1020">
        <v>0.2</v>
      </c>
      <c r="S29" s="1020">
        <f t="shared" si="5"/>
        <v>0</v>
      </c>
      <c r="T29" s="1020">
        <f t="shared" si="14"/>
        <v>0</v>
      </c>
      <c r="U29" s="1020">
        <f t="shared" si="6"/>
        <v>0</v>
      </c>
      <c r="V29" s="1020">
        <f t="shared" si="7"/>
        <v>0</v>
      </c>
      <c r="W29" s="1020">
        <f t="shared" si="15"/>
        <v>0</v>
      </c>
      <c r="X29" s="1020">
        <f t="shared" si="8"/>
        <v>0</v>
      </c>
      <c r="Y29" s="1020">
        <f t="shared" si="9"/>
        <v>0</v>
      </c>
      <c r="Z29" s="842">
        <f t="shared" si="25"/>
        <v>0</v>
      </c>
      <c r="AA29" s="842">
        <f t="shared" si="26"/>
        <v>0</v>
      </c>
      <c r="AB29" s="842">
        <f t="shared" si="26"/>
        <v>0</v>
      </c>
      <c r="AC29" s="842">
        <f t="shared" si="19"/>
        <v>0</v>
      </c>
      <c r="AD29" s="1020">
        <f t="shared" si="20"/>
        <v>0</v>
      </c>
      <c r="AE29" s="1537">
        <f t="shared" si="21"/>
        <v>0</v>
      </c>
    </row>
    <row r="30" spans="1:31" s="1022" customFormat="1" ht="30.75" hidden="1" customHeight="1">
      <c r="A30" s="837"/>
      <c r="B30" s="838"/>
      <c r="C30" s="841"/>
      <c r="D30" s="841"/>
      <c r="E30" s="840"/>
      <c r="F30" s="841"/>
      <c r="G30" s="841"/>
      <c r="H30" s="841">
        <f t="shared" si="0"/>
        <v>240</v>
      </c>
      <c r="I30" s="840">
        <f t="shared" si="10"/>
        <v>3.96</v>
      </c>
      <c r="J30" s="840"/>
      <c r="K30" s="840">
        <f t="shared" si="11"/>
        <v>0.84</v>
      </c>
      <c r="L30" s="840">
        <f t="shared" si="1"/>
        <v>1.04</v>
      </c>
      <c r="M30" s="1020">
        <f t="shared" si="2"/>
        <v>0</v>
      </c>
      <c r="N30" s="1020">
        <f t="shared" si="23"/>
        <v>0</v>
      </c>
      <c r="O30" s="1020">
        <f t="shared" si="3"/>
        <v>0</v>
      </c>
      <c r="P30" s="1020">
        <f t="shared" si="4"/>
        <v>0</v>
      </c>
      <c r="Q30" s="1020">
        <f t="shared" si="24"/>
        <v>0</v>
      </c>
      <c r="R30" s="1020">
        <v>0.2</v>
      </c>
      <c r="S30" s="1020">
        <f t="shared" si="5"/>
        <v>0</v>
      </c>
      <c r="T30" s="1020">
        <f t="shared" si="14"/>
        <v>0</v>
      </c>
      <c r="U30" s="1020">
        <f t="shared" si="6"/>
        <v>0</v>
      </c>
      <c r="V30" s="1020">
        <f t="shared" si="7"/>
        <v>0</v>
      </c>
      <c r="W30" s="1020">
        <f t="shared" si="15"/>
        <v>0</v>
      </c>
      <c r="X30" s="1020">
        <f t="shared" si="8"/>
        <v>0</v>
      </c>
      <c r="Y30" s="1020">
        <f t="shared" si="9"/>
        <v>0</v>
      </c>
      <c r="Z30" s="842">
        <f t="shared" si="25"/>
        <v>0</v>
      </c>
      <c r="AA30" s="842">
        <f t="shared" si="26"/>
        <v>0</v>
      </c>
      <c r="AB30" s="842">
        <f t="shared" si="26"/>
        <v>0</v>
      </c>
      <c r="AC30" s="842">
        <f t="shared" si="19"/>
        <v>0</v>
      </c>
      <c r="AD30" s="1020">
        <f t="shared" si="20"/>
        <v>0</v>
      </c>
      <c r="AE30" s="1537">
        <f t="shared" si="21"/>
        <v>0</v>
      </c>
    </row>
    <row r="31" spans="1:31" s="1021" customFormat="1" ht="30.75" hidden="1" customHeight="1">
      <c r="A31" s="837"/>
      <c r="B31" s="838"/>
      <c r="C31" s="841"/>
      <c r="D31" s="841"/>
      <c r="E31" s="840"/>
      <c r="F31" s="841"/>
      <c r="G31" s="841"/>
      <c r="H31" s="841">
        <f t="shared" si="0"/>
        <v>240</v>
      </c>
      <c r="I31" s="840">
        <f t="shared" si="10"/>
        <v>3.96</v>
      </c>
      <c r="J31" s="840"/>
      <c r="K31" s="840">
        <f t="shared" si="11"/>
        <v>0.84</v>
      </c>
      <c r="L31" s="840">
        <f t="shared" si="1"/>
        <v>1.04</v>
      </c>
      <c r="M31" s="1020">
        <f t="shared" si="2"/>
        <v>0</v>
      </c>
      <c r="N31" s="1020">
        <f t="shared" si="23"/>
        <v>0</v>
      </c>
      <c r="O31" s="1020">
        <f t="shared" si="3"/>
        <v>0</v>
      </c>
      <c r="P31" s="1020">
        <f t="shared" si="4"/>
        <v>0</v>
      </c>
      <c r="Q31" s="1020">
        <f t="shared" si="24"/>
        <v>0</v>
      </c>
      <c r="R31" s="1020">
        <v>0.2</v>
      </c>
      <c r="S31" s="1020">
        <f t="shared" si="5"/>
        <v>0</v>
      </c>
      <c r="T31" s="1020">
        <f t="shared" si="14"/>
        <v>0</v>
      </c>
      <c r="U31" s="1020">
        <f t="shared" si="6"/>
        <v>0</v>
      </c>
      <c r="V31" s="1020">
        <f t="shared" si="7"/>
        <v>0</v>
      </c>
      <c r="W31" s="1020">
        <f t="shared" si="15"/>
        <v>0</v>
      </c>
      <c r="X31" s="1020">
        <f t="shared" si="8"/>
        <v>0</v>
      </c>
      <c r="Y31" s="1020">
        <f t="shared" si="9"/>
        <v>0</v>
      </c>
      <c r="Z31" s="842">
        <f t="shared" si="25"/>
        <v>0</v>
      </c>
      <c r="AA31" s="842">
        <f t="shared" si="26"/>
        <v>0</v>
      </c>
      <c r="AB31" s="842">
        <f t="shared" si="26"/>
        <v>0</v>
      </c>
      <c r="AC31" s="842">
        <f t="shared" si="19"/>
        <v>0</v>
      </c>
      <c r="AD31" s="1020">
        <f t="shared" si="20"/>
        <v>0</v>
      </c>
      <c r="AE31" s="1537">
        <f t="shared" si="21"/>
        <v>0</v>
      </c>
    </row>
    <row r="32" spans="1:31" s="1021" customFormat="1" ht="30.75" hidden="1" customHeight="1">
      <c r="A32" s="837"/>
      <c r="B32" s="838"/>
      <c r="C32" s="841"/>
      <c r="D32" s="841"/>
      <c r="E32" s="840"/>
      <c r="F32" s="841"/>
      <c r="G32" s="841"/>
      <c r="H32" s="841">
        <f t="shared" si="0"/>
        <v>240</v>
      </c>
      <c r="I32" s="840">
        <f t="shared" si="10"/>
        <v>3.96</v>
      </c>
      <c r="J32" s="840"/>
      <c r="K32" s="840">
        <f t="shared" si="11"/>
        <v>0.84</v>
      </c>
      <c r="L32" s="840">
        <f t="shared" si="1"/>
        <v>1.04</v>
      </c>
      <c r="M32" s="1020">
        <f t="shared" si="2"/>
        <v>0</v>
      </c>
      <c r="N32" s="1020">
        <f t="shared" si="23"/>
        <v>0</v>
      </c>
      <c r="O32" s="1020">
        <f t="shared" si="3"/>
        <v>0</v>
      </c>
      <c r="P32" s="1020">
        <f t="shared" si="4"/>
        <v>0</v>
      </c>
      <c r="Q32" s="1020">
        <f t="shared" si="24"/>
        <v>0</v>
      </c>
      <c r="R32" s="1020">
        <v>0.2</v>
      </c>
      <c r="S32" s="1020">
        <f t="shared" si="5"/>
        <v>0</v>
      </c>
      <c r="T32" s="1020">
        <f t="shared" si="14"/>
        <v>0</v>
      </c>
      <c r="U32" s="1020">
        <f t="shared" si="6"/>
        <v>0</v>
      </c>
      <c r="V32" s="1020">
        <f t="shared" si="7"/>
        <v>0</v>
      </c>
      <c r="W32" s="1020">
        <f t="shared" si="15"/>
        <v>0</v>
      </c>
      <c r="X32" s="1020">
        <f t="shared" si="8"/>
        <v>0</v>
      </c>
      <c r="Y32" s="1020">
        <f t="shared" si="9"/>
        <v>0</v>
      </c>
      <c r="Z32" s="842">
        <f t="shared" si="25"/>
        <v>0</v>
      </c>
      <c r="AA32" s="842">
        <f t="shared" si="26"/>
        <v>0</v>
      </c>
      <c r="AB32" s="842">
        <f t="shared" si="26"/>
        <v>0</v>
      </c>
      <c r="AC32" s="842">
        <f t="shared" si="19"/>
        <v>0</v>
      </c>
      <c r="AD32" s="1020">
        <f t="shared" si="20"/>
        <v>0</v>
      </c>
      <c r="AE32" s="1537">
        <f t="shared" si="21"/>
        <v>0</v>
      </c>
    </row>
    <row r="33" spans="1:31" s="1021" customFormat="1" ht="30.75" hidden="1" customHeight="1">
      <c r="A33" s="837"/>
      <c r="B33" s="838"/>
      <c r="C33" s="841"/>
      <c r="D33" s="841"/>
      <c r="E33" s="840"/>
      <c r="F33" s="841"/>
      <c r="G33" s="841"/>
      <c r="H33" s="841">
        <f t="shared" si="0"/>
        <v>240</v>
      </c>
      <c r="I33" s="840">
        <f t="shared" si="10"/>
        <v>3.96</v>
      </c>
      <c r="J33" s="840"/>
      <c r="K33" s="840">
        <f t="shared" si="11"/>
        <v>0.84</v>
      </c>
      <c r="L33" s="840">
        <f t="shared" si="1"/>
        <v>1.04</v>
      </c>
      <c r="M33" s="1020">
        <f t="shared" si="2"/>
        <v>0</v>
      </c>
      <c r="N33" s="1020">
        <f t="shared" si="23"/>
        <v>0</v>
      </c>
      <c r="O33" s="1020">
        <f t="shared" si="3"/>
        <v>0</v>
      </c>
      <c r="P33" s="1020">
        <f t="shared" si="4"/>
        <v>0</v>
      </c>
      <c r="Q33" s="1020">
        <f t="shared" si="24"/>
        <v>0</v>
      </c>
      <c r="R33" s="1020">
        <v>0.2</v>
      </c>
      <c r="S33" s="1020">
        <f t="shared" si="5"/>
        <v>0</v>
      </c>
      <c r="T33" s="1020">
        <f t="shared" si="14"/>
        <v>0</v>
      </c>
      <c r="U33" s="1020">
        <f t="shared" si="6"/>
        <v>0</v>
      </c>
      <c r="V33" s="1020">
        <f t="shared" si="7"/>
        <v>0</v>
      </c>
      <c r="W33" s="1020">
        <f t="shared" si="15"/>
        <v>0</v>
      </c>
      <c r="X33" s="1020">
        <f t="shared" si="8"/>
        <v>0</v>
      </c>
      <c r="Y33" s="1020">
        <f t="shared" si="9"/>
        <v>0</v>
      </c>
      <c r="Z33" s="842">
        <f t="shared" si="25"/>
        <v>0</v>
      </c>
      <c r="AA33" s="842">
        <f t="shared" si="26"/>
        <v>0</v>
      </c>
      <c r="AB33" s="842">
        <f t="shared" si="26"/>
        <v>0</v>
      </c>
      <c r="AC33" s="842">
        <f t="shared" si="19"/>
        <v>0</v>
      </c>
      <c r="AD33" s="1020">
        <f t="shared" si="20"/>
        <v>0</v>
      </c>
      <c r="AE33" s="1537">
        <f t="shared" si="21"/>
        <v>0</v>
      </c>
    </row>
    <row r="34" spans="1:31" s="1022" customFormat="1" ht="30.75" hidden="1" customHeight="1">
      <c r="A34" s="837"/>
      <c r="B34" s="838"/>
      <c r="C34" s="841"/>
      <c r="D34" s="841"/>
      <c r="E34" s="840"/>
      <c r="F34" s="841"/>
      <c r="G34" s="841"/>
      <c r="H34" s="841">
        <f t="shared" si="0"/>
        <v>240</v>
      </c>
      <c r="I34" s="840">
        <f t="shared" si="10"/>
        <v>3.96</v>
      </c>
      <c r="J34" s="840"/>
      <c r="K34" s="840">
        <f t="shared" si="11"/>
        <v>0.84</v>
      </c>
      <c r="L34" s="840">
        <f t="shared" si="1"/>
        <v>1.04</v>
      </c>
      <c r="M34" s="1020">
        <f t="shared" si="2"/>
        <v>0</v>
      </c>
      <c r="N34" s="1020">
        <f t="shared" si="23"/>
        <v>0</v>
      </c>
      <c r="O34" s="1020">
        <f t="shared" si="3"/>
        <v>0</v>
      </c>
      <c r="P34" s="1020">
        <f t="shared" si="4"/>
        <v>0</v>
      </c>
      <c r="Q34" s="1020">
        <f t="shared" si="24"/>
        <v>0</v>
      </c>
      <c r="R34" s="1020">
        <v>0.2</v>
      </c>
      <c r="S34" s="1020">
        <f t="shared" si="5"/>
        <v>0</v>
      </c>
      <c r="T34" s="1020">
        <f t="shared" si="14"/>
        <v>0</v>
      </c>
      <c r="U34" s="1020">
        <f t="shared" si="6"/>
        <v>0</v>
      </c>
      <c r="V34" s="1020">
        <f t="shared" si="7"/>
        <v>0</v>
      </c>
      <c r="W34" s="1020">
        <f t="shared" si="15"/>
        <v>0</v>
      </c>
      <c r="X34" s="1020">
        <f t="shared" si="8"/>
        <v>0</v>
      </c>
      <c r="Y34" s="1020">
        <f t="shared" si="9"/>
        <v>0</v>
      </c>
      <c r="Z34" s="842">
        <f t="shared" si="25"/>
        <v>0</v>
      </c>
      <c r="AA34" s="842">
        <f t="shared" si="26"/>
        <v>0</v>
      </c>
      <c r="AB34" s="842">
        <f t="shared" si="26"/>
        <v>0</v>
      </c>
      <c r="AC34" s="842">
        <f t="shared" si="19"/>
        <v>0</v>
      </c>
      <c r="AD34" s="1020">
        <f t="shared" si="20"/>
        <v>0</v>
      </c>
      <c r="AE34" s="1537">
        <f t="shared" si="21"/>
        <v>0</v>
      </c>
    </row>
    <row r="35" spans="1:31" s="1021" customFormat="1" ht="30.75" hidden="1" customHeight="1">
      <c r="A35" s="837"/>
      <c r="B35" s="838"/>
      <c r="C35" s="841"/>
      <c r="D35" s="841"/>
      <c r="E35" s="840"/>
      <c r="F35" s="841"/>
      <c r="G35" s="841"/>
      <c r="H35" s="841">
        <f t="shared" si="0"/>
        <v>240</v>
      </c>
      <c r="I35" s="840">
        <f t="shared" si="10"/>
        <v>3.96</v>
      </c>
      <c r="J35" s="840"/>
      <c r="K35" s="840">
        <f t="shared" si="11"/>
        <v>0.84</v>
      </c>
      <c r="L35" s="840">
        <f t="shared" si="1"/>
        <v>1.04</v>
      </c>
      <c r="M35" s="1020">
        <f t="shared" si="2"/>
        <v>0</v>
      </c>
      <c r="N35" s="1020">
        <f t="shared" si="23"/>
        <v>0</v>
      </c>
      <c r="O35" s="1020">
        <f t="shared" si="3"/>
        <v>0</v>
      </c>
      <c r="P35" s="1020">
        <f t="shared" si="4"/>
        <v>0</v>
      </c>
      <c r="Q35" s="1020">
        <f t="shared" si="24"/>
        <v>0</v>
      </c>
      <c r="R35" s="1020">
        <v>0.2</v>
      </c>
      <c r="S35" s="1020">
        <f t="shared" si="5"/>
        <v>0</v>
      </c>
      <c r="T35" s="1020">
        <f t="shared" si="14"/>
        <v>0</v>
      </c>
      <c r="U35" s="1020">
        <f t="shared" si="6"/>
        <v>0</v>
      </c>
      <c r="V35" s="1020">
        <f t="shared" si="7"/>
        <v>0</v>
      </c>
      <c r="W35" s="1020">
        <f t="shared" si="15"/>
        <v>0</v>
      </c>
      <c r="X35" s="1020">
        <f t="shared" si="8"/>
        <v>0</v>
      </c>
      <c r="Y35" s="1020">
        <f t="shared" si="9"/>
        <v>0</v>
      </c>
      <c r="Z35" s="842">
        <f t="shared" si="25"/>
        <v>0</v>
      </c>
      <c r="AA35" s="842">
        <f t="shared" si="26"/>
        <v>0</v>
      </c>
      <c r="AB35" s="842">
        <f t="shared" si="26"/>
        <v>0</v>
      </c>
      <c r="AC35" s="842">
        <f t="shared" si="19"/>
        <v>0</v>
      </c>
      <c r="AD35" s="1020">
        <f t="shared" si="20"/>
        <v>0</v>
      </c>
      <c r="AE35" s="1537">
        <f t="shared" si="21"/>
        <v>0</v>
      </c>
    </row>
    <row r="36" spans="1:31" s="1021" customFormat="1" ht="30.75" hidden="1" customHeight="1">
      <c r="A36" s="837"/>
      <c r="B36" s="838"/>
      <c r="C36" s="841"/>
      <c r="D36" s="841"/>
      <c r="E36" s="840"/>
      <c r="F36" s="841"/>
      <c r="G36" s="841"/>
      <c r="H36" s="841">
        <f t="shared" si="0"/>
        <v>240</v>
      </c>
      <c r="I36" s="840">
        <f t="shared" si="10"/>
        <v>3.96</v>
      </c>
      <c r="J36" s="840"/>
      <c r="K36" s="840">
        <f t="shared" si="11"/>
        <v>0.84</v>
      </c>
      <c r="L36" s="840">
        <f t="shared" si="1"/>
        <v>1.04</v>
      </c>
      <c r="M36" s="1020">
        <f t="shared" si="2"/>
        <v>0</v>
      </c>
      <c r="N36" s="1020">
        <f t="shared" si="23"/>
        <v>0</v>
      </c>
      <c r="O36" s="1020">
        <f t="shared" si="3"/>
        <v>0</v>
      </c>
      <c r="P36" s="1020">
        <f t="shared" si="4"/>
        <v>0</v>
      </c>
      <c r="Q36" s="1020">
        <f t="shared" si="24"/>
        <v>0</v>
      </c>
      <c r="R36" s="1020">
        <v>0.2</v>
      </c>
      <c r="S36" s="1020">
        <f t="shared" si="5"/>
        <v>0</v>
      </c>
      <c r="T36" s="1020">
        <f t="shared" si="14"/>
        <v>0</v>
      </c>
      <c r="U36" s="1020">
        <f t="shared" si="6"/>
        <v>0</v>
      </c>
      <c r="V36" s="1020">
        <f t="shared" si="7"/>
        <v>0</v>
      </c>
      <c r="W36" s="1020">
        <f t="shared" si="15"/>
        <v>0</v>
      </c>
      <c r="X36" s="1020">
        <f t="shared" si="8"/>
        <v>0</v>
      </c>
      <c r="Y36" s="1020">
        <f t="shared" si="9"/>
        <v>0</v>
      </c>
      <c r="Z36" s="842">
        <f t="shared" si="25"/>
        <v>0</v>
      </c>
      <c r="AA36" s="842">
        <f t="shared" si="26"/>
        <v>0</v>
      </c>
      <c r="AB36" s="842">
        <f t="shared" si="26"/>
        <v>0</v>
      </c>
      <c r="AC36" s="842">
        <f t="shared" si="19"/>
        <v>0</v>
      </c>
      <c r="AD36" s="1020">
        <f t="shared" si="20"/>
        <v>0</v>
      </c>
      <c r="AE36" s="1537">
        <f t="shared" si="21"/>
        <v>0</v>
      </c>
    </row>
    <row r="37" spans="1:31" s="1021" customFormat="1" ht="30.75" hidden="1" customHeight="1">
      <c r="A37" s="837"/>
      <c r="B37" s="838"/>
      <c r="C37" s="841"/>
      <c r="D37" s="841"/>
      <c r="E37" s="840"/>
      <c r="F37" s="841"/>
      <c r="G37" s="841"/>
      <c r="H37" s="841">
        <f t="shared" si="0"/>
        <v>240</v>
      </c>
      <c r="I37" s="840">
        <f t="shared" si="10"/>
        <v>3.96</v>
      </c>
      <c r="J37" s="840"/>
      <c r="K37" s="840">
        <f t="shared" si="11"/>
        <v>0.84</v>
      </c>
      <c r="L37" s="840">
        <f t="shared" si="1"/>
        <v>1.04</v>
      </c>
      <c r="M37" s="1020">
        <f t="shared" si="2"/>
        <v>0</v>
      </c>
      <c r="N37" s="1020">
        <f t="shared" si="23"/>
        <v>0</v>
      </c>
      <c r="O37" s="1020">
        <f t="shared" si="3"/>
        <v>0</v>
      </c>
      <c r="P37" s="1020">
        <f t="shared" si="4"/>
        <v>0</v>
      </c>
      <c r="Q37" s="1020">
        <f t="shared" si="24"/>
        <v>0</v>
      </c>
      <c r="R37" s="1020">
        <v>0.2</v>
      </c>
      <c r="S37" s="1020">
        <f t="shared" si="5"/>
        <v>0</v>
      </c>
      <c r="T37" s="1020">
        <f t="shared" si="14"/>
        <v>0</v>
      </c>
      <c r="U37" s="1020">
        <f t="shared" si="6"/>
        <v>0</v>
      </c>
      <c r="V37" s="1020">
        <f t="shared" si="7"/>
        <v>0</v>
      </c>
      <c r="W37" s="1020">
        <f t="shared" si="15"/>
        <v>0</v>
      </c>
      <c r="X37" s="1020">
        <f t="shared" si="8"/>
        <v>0</v>
      </c>
      <c r="Y37" s="1020">
        <f t="shared" si="9"/>
        <v>0</v>
      </c>
      <c r="Z37" s="842">
        <f t="shared" si="25"/>
        <v>0</v>
      </c>
      <c r="AA37" s="842">
        <f t="shared" si="26"/>
        <v>0</v>
      </c>
      <c r="AB37" s="842">
        <f t="shared" si="26"/>
        <v>0</v>
      </c>
      <c r="AC37" s="842">
        <f t="shared" si="19"/>
        <v>0</v>
      </c>
      <c r="AD37" s="1020">
        <f t="shared" si="20"/>
        <v>0</v>
      </c>
      <c r="AE37" s="1537">
        <f t="shared" si="21"/>
        <v>0</v>
      </c>
    </row>
    <row r="38" spans="1:31" s="1022" customFormat="1" ht="30.75" hidden="1" customHeight="1">
      <c r="A38" s="837"/>
      <c r="B38" s="838"/>
      <c r="C38" s="841"/>
      <c r="D38" s="841"/>
      <c r="E38" s="840"/>
      <c r="F38" s="841"/>
      <c r="G38" s="841"/>
      <c r="H38" s="841">
        <f t="shared" si="0"/>
        <v>240</v>
      </c>
      <c r="I38" s="840">
        <f t="shared" si="10"/>
        <v>3.96</v>
      </c>
      <c r="J38" s="840"/>
      <c r="K38" s="840">
        <f t="shared" si="11"/>
        <v>0.84</v>
      </c>
      <c r="L38" s="840">
        <f t="shared" si="1"/>
        <v>1.04</v>
      </c>
      <c r="M38" s="1020">
        <f t="shared" si="2"/>
        <v>0</v>
      </c>
      <c r="N38" s="1020">
        <f t="shared" si="23"/>
        <v>0</v>
      </c>
      <c r="O38" s="1020">
        <f t="shared" si="3"/>
        <v>0</v>
      </c>
      <c r="P38" s="1020">
        <f t="shared" si="4"/>
        <v>0</v>
      </c>
      <c r="Q38" s="1020">
        <f t="shared" si="24"/>
        <v>0</v>
      </c>
      <c r="R38" s="1020">
        <v>0.2</v>
      </c>
      <c r="S38" s="1020">
        <f t="shared" si="5"/>
        <v>0</v>
      </c>
      <c r="T38" s="1020">
        <f t="shared" si="14"/>
        <v>0</v>
      </c>
      <c r="U38" s="1020">
        <f t="shared" si="6"/>
        <v>0</v>
      </c>
      <c r="V38" s="1020">
        <f t="shared" si="7"/>
        <v>0</v>
      </c>
      <c r="W38" s="1020">
        <f t="shared" si="15"/>
        <v>0</v>
      </c>
      <c r="X38" s="1020">
        <f t="shared" si="8"/>
        <v>0</v>
      </c>
      <c r="Y38" s="1020">
        <f t="shared" si="9"/>
        <v>0</v>
      </c>
      <c r="Z38" s="842">
        <f t="shared" si="25"/>
        <v>0</v>
      </c>
      <c r="AA38" s="842">
        <f t="shared" si="26"/>
        <v>0</v>
      </c>
      <c r="AB38" s="842">
        <f t="shared" si="26"/>
        <v>0</v>
      </c>
      <c r="AC38" s="842">
        <f t="shared" si="19"/>
        <v>0</v>
      </c>
      <c r="AD38" s="1020">
        <f t="shared" si="20"/>
        <v>0</v>
      </c>
      <c r="AE38" s="1537">
        <f t="shared" si="21"/>
        <v>0</v>
      </c>
    </row>
    <row r="39" spans="1:31" s="1021" customFormat="1" ht="42.75" hidden="1" customHeight="1">
      <c r="A39" s="837"/>
      <c r="B39" s="838"/>
      <c r="C39" s="841"/>
      <c r="D39" s="841"/>
      <c r="E39" s="840"/>
      <c r="F39" s="841"/>
      <c r="G39" s="841"/>
      <c r="H39" s="841">
        <f t="shared" si="0"/>
        <v>240</v>
      </c>
      <c r="I39" s="840">
        <f t="shared" si="10"/>
        <v>3.96</v>
      </c>
      <c r="J39" s="840"/>
      <c r="K39" s="840">
        <f t="shared" si="11"/>
        <v>0.84</v>
      </c>
      <c r="L39" s="840">
        <f t="shared" si="1"/>
        <v>1.04</v>
      </c>
      <c r="M39" s="1020">
        <f t="shared" si="2"/>
        <v>0</v>
      </c>
      <c r="N39" s="1020">
        <f t="shared" si="23"/>
        <v>0</v>
      </c>
      <c r="O39" s="1020">
        <f t="shared" si="3"/>
        <v>0</v>
      </c>
      <c r="P39" s="1020">
        <f t="shared" si="4"/>
        <v>0</v>
      </c>
      <c r="Q39" s="1020">
        <f t="shared" si="24"/>
        <v>0</v>
      </c>
      <c r="R39" s="1020">
        <v>0.2</v>
      </c>
      <c r="S39" s="1020">
        <f t="shared" si="5"/>
        <v>0</v>
      </c>
      <c r="T39" s="1020">
        <f t="shared" si="14"/>
        <v>0</v>
      </c>
      <c r="U39" s="1020">
        <f t="shared" si="6"/>
        <v>0</v>
      </c>
      <c r="V39" s="1020">
        <f t="shared" si="7"/>
        <v>0</v>
      </c>
      <c r="W39" s="1020">
        <f t="shared" si="15"/>
        <v>0</v>
      </c>
      <c r="X39" s="1020">
        <f t="shared" si="8"/>
        <v>0</v>
      </c>
      <c r="Y39" s="1020">
        <f t="shared" si="9"/>
        <v>0</v>
      </c>
      <c r="Z39" s="842">
        <f t="shared" si="25"/>
        <v>0</v>
      </c>
      <c r="AA39" s="842">
        <f t="shared" si="26"/>
        <v>0</v>
      </c>
      <c r="AB39" s="842">
        <f t="shared" si="26"/>
        <v>0</v>
      </c>
      <c r="AC39" s="842">
        <f t="shared" si="19"/>
        <v>0</v>
      </c>
      <c r="AD39" s="1020">
        <f t="shared" si="20"/>
        <v>0</v>
      </c>
      <c r="AE39" s="1537">
        <f t="shared" si="21"/>
        <v>0</v>
      </c>
    </row>
    <row r="40" spans="1:31" s="1022" customFormat="1" ht="32.25" hidden="1" customHeight="1">
      <c r="A40" s="837"/>
      <c r="B40" s="838"/>
      <c r="C40" s="841"/>
      <c r="D40" s="841"/>
      <c r="E40" s="840"/>
      <c r="F40" s="841"/>
      <c r="G40" s="841"/>
      <c r="H40" s="841">
        <f t="shared" si="0"/>
        <v>240</v>
      </c>
      <c r="I40" s="840">
        <f t="shared" si="10"/>
        <v>3.96</v>
      </c>
      <c r="J40" s="840"/>
      <c r="K40" s="840">
        <f t="shared" si="11"/>
        <v>0.84</v>
      </c>
      <c r="L40" s="840">
        <f t="shared" si="1"/>
        <v>1.04</v>
      </c>
      <c r="M40" s="1020">
        <f t="shared" si="2"/>
        <v>0</v>
      </c>
      <c r="N40" s="1020">
        <f t="shared" si="23"/>
        <v>0</v>
      </c>
      <c r="O40" s="1020">
        <f t="shared" si="3"/>
        <v>0</v>
      </c>
      <c r="P40" s="1020">
        <f t="shared" si="4"/>
        <v>0</v>
      </c>
      <c r="Q40" s="1020">
        <f t="shared" si="24"/>
        <v>0</v>
      </c>
      <c r="R40" s="1020">
        <v>0.2</v>
      </c>
      <c r="S40" s="1020">
        <f t="shared" si="5"/>
        <v>0</v>
      </c>
      <c r="T40" s="1020">
        <f t="shared" si="14"/>
        <v>0</v>
      </c>
      <c r="U40" s="1020">
        <f t="shared" si="6"/>
        <v>0</v>
      </c>
      <c r="V40" s="1020">
        <f t="shared" si="7"/>
        <v>0</v>
      </c>
      <c r="W40" s="1020">
        <f t="shared" si="15"/>
        <v>0</v>
      </c>
      <c r="X40" s="1020">
        <f t="shared" si="8"/>
        <v>0</v>
      </c>
      <c r="Y40" s="1020">
        <f t="shared" si="9"/>
        <v>0</v>
      </c>
      <c r="Z40" s="842">
        <f t="shared" si="25"/>
        <v>0</v>
      </c>
      <c r="AA40" s="842">
        <f t="shared" si="26"/>
        <v>0</v>
      </c>
      <c r="AB40" s="842">
        <f t="shared" si="26"/>
        <v>0</v>
      </c>
      <c r="AC40" s="842">
        <f t="shared" si="19"/>
        <v>0</v>
      </c>
      <c r="AD40" s="1020">
        <f t="shared" si="20"/>
        <v>0</v>
      </c>
      <c r="AE40" s="1537">
        <f t="shared" si="21"/>
        <v>0</v>
      </c>
    </row>
    <row r="41" spans="1:31" s="1021" customFormat="1" ht="30.75" hidden="1" customHeight="1">
      <c r="A41" s="837"/>
      <c r="B41" s="838"/>
      <c r="C41" s="841"/>
      <c r="D41" s="841"/>
      <c r="E41" s="840"/>
      <c r="F41" s="841"/>
      <c r="G41" s="841"/>
      <c r="H41" s="841">
        <f t="shared" si="0"/>
        <v>240</v>
      </c>
      <c r="I41" s="840">
        <f t="shared" si="10"/>
        <v>3.96</v>
      </c>
      <c r="J41" s="840"/>
      <c r="K41" s="840">
        <f t="shared" si="11"/>
        <v>0.84</v>
      </c>
      <c r="L41" s="840">
        <f t="shared" si="1"/>
        <v>1.04</v>
      </c>
      <c r="M41" s="1020">
        <f t="shared" si="2"/>
        <v>0</v>
      </c>
      <c r="N41" s="1020">
        <f t="shared" si="23"/>
        <v>0</v>
      </c>
      <c r="O41" s="1020">
        <f t="shared" si="3"/>
        <v>0</v>
      </c>
      <c r="P41" s="1020">
        <f t="shared" si="4"/>
        <v>0</v>
      </c>
      <c r="Q41" s="1020">
        <f t="shared" si="24"/>
        <v>0</v>
      </c>
      <c r="R41" s="1020">
        <v>0.2</v>
      </c>
      <c r="S41" s="1020">
        <f t="shared" si="5"/>
        <v>0</v>
      </c>
      <c r="T41" s="1020">
        <f t="shared" si="14"/>
        <v>0</v>
      </c>
      <c r="U41" s="1020">
        <f t="shared" si="6"/>
        <v>0</v>
      </c>
      <c r="V41" s="1020">
        <f t="shared" si="7"/>
        <v>0</v>
      </c>
      <c r="W41" s="1020">
        <f t="shared" si="15"/>
        <v>0</v>
      </c>
      <c r="X41" s="1020">
        <f t="shared" si="8"/>
        <v>0</v>
      </c>
      <c r="Y41" s="1020">
        <f t="shared" si="9"/>
        <v>0</v>
      </c>
      <c r="Z41" s="842">
        <f t="shared" si="25"/>
        <v>0</v>
      </c>
      <c r="AA41" s="842">
        <f t="shared" si="26"/>
        <v>0</v>
      </c>
      <c r="AB41" s="842">
        <f t="shared" si="26"/>
        <v>0</v>
      </c>
      <c r="AC41" s="842">
        <f t="shared" si="19"/>
        <v>0</v>
      </c>
      <c r="AD41" s="1020">
        <f t="shared" si="20"/>
        <v>0</v>
      </c>
      <c r="AE41" s="1537">
        <f t="shared" si="21"/>
        <v>0</v>
      </c>
    </row>
    <row r="42" spans="1:31" s="1021" customFormat="1" ht="30.75" hidden="1" customHeight="1">
      <c r="A42" s="837"/>
      <c r="B42" s="838"/>
      <c r="C42" s="841"/>
      <c r="D42" s="841"/>
      <c r="E42" s="840"/>
      <c r="F42" s="841"/>
      <c r="G42" s="841"/>
      <c r="H42" s="841">
        <f t="shared" si="0"/>
        <v>240</v>
      </c>
      <c r="I42" s="840">
        <f t="shared" si="10"/>
        <v>3.96</v>
      </c>
      <c r="J42" s="840"/>
      <c r="K42" s="840">
        <f t="shared" si="11"/>
        <v>0.84</v>
      </c>
      <c r="L42" s="840">
        <f t="shared" si="1"/>
        <v>1.04</v>
      </c>
      <c r="M42" s="1020">
        <f t="shared" si="2"/>
        <v>0</v>
      </c>
      <c r="N42" s="1020">
        <f t="shared" si="23"/>
        <v>0</v>
      </c>
      <c r="O42" s="1020">
        <f t="shared" si="3"/>
        <v>0</v>
      </c>
      <c r="P42" s="1020">
        <f t="shared" si="4"/>
        <v>0</v>
      </c>
      <c r="Q42" s="1020">
        <f t="shared" si="24"/>
        <v>0</v>
      </c>
      <c r="R42" s="1020">
        <v>0.2</v>
      </c>
      <c r="S42" s="1020">
        <f t="shared" si="5"/>
        <v>0</v>
      </c>
      <c r="T42" s="1020">
        <f t="shared" si="14"/>
        <v>0</v>
      </c>
      <c r="U42" s="1020">
        <f t="shared" si="6"/>
        <v>0</v>
      </c>
      <c r="V42" s="1020">
        <f t="shared" si="7"/>
        <v>0</v>
      </c>
      <c r="W42" s="1020">
        <f t="shared" si="15"/>
        <v>0</v>
      </c>
      <c r="X42" s="1020">
        <f t="shared" si="8"/>
        <v>0</v>
      </c>
      <c r="Y42" s="1020">
        <f t="shared" si="9"/>
        <v>0</v>
      </c>
      <c r="Z42" s="842">
        <f t="shared" si="25"/>
        <v>0</v>
      </c>
      <c r="AA42" s="842">
        <f t="shared" si="26"/>
        <v>0</v>
      </c>
      <c r="AB42" s="842">
        <f t="shared" si="26"/>
        <v>0</v>
      </c>
      <c r="AC42" s="842">
        <f t="shared" si="19"/>
        <v>0</v>
      </c>
      <c r="AD42" s="1020">
        <f t="shared" si="20"/>
        <v>0</v>
      </c>
      <c r="AE42" s="1537">
        <f t="shared" si="21"/>
        <v>0</v>
      </c>
    </row>
    <row r="43" spans="1:31" s="1021" customFormat="1" ht="30.75" hidden="1" customHeight="1">
      <c r="A43" s="837"/>
      <c r="B43" s="838"/>
      <c r="C43" s="841"/>
      <c r="D43" s="841"/>
      <c r="E43" s="840"/>
      <c r="F43" s="841"/>
      <c r="G43" s="841"/>
      <c r="H43" s="841">
        <f t="shared" si="0"/>
        <v>240</v>
      </c>
      <c r="I43" s="840">
        <f t="shared" si="10"/>
        <v>3.96</v>
      </c>
      <c r="J43" s="840"/>
      <c r="K43" s="840">
        <f t="shared" si="11"/>
        <v>0.84</v>
      </c>
      <c r="L43" s="840">
        <f t="shared" si="1"/>
        <v>1.04</v>
      </c>
      <c r="M43" s="1020">
        <f t="shared" si="2"/>
        <v>0</v>
      </c>
      <c r="N43" s="1020">
        <f t="shared" si="23"/>
        <v>0</v>
      </c>
      <c r="O43" s="1020">
        <f t="shared" si="3"/>
        <v>0</v>
      </c>
      <c r="P43" s="1020">
        <f t="shared" si="4"/>
        <v>0</v>
      </c>
      <c r="Q43" s="1020">
        <f t="shared" si="24"/>
        <v>0</v>
      </c>
      <c r="R43" s="1020">
        <v>0.2</v>
      </c>
      <c r="S43" s="1020">
        <f t="shared" si="5"/>
        <v>0</v>
      </c>
      <c r="T43" s="1020">
        <f t="shared" si="14"/>
        <v>0</v>
      </c>
      <c r="U43" s="1020">
        <f t="shared" si="6"/>
        <v>0</v>
      </c>
      <c r="V43" s="1020">
        <f t="shared" si="7"/>
        <v>0</v>
      </c>
      <c r="W43" s="1020">
        <f t="shared" si="15"/>
        <v>0</v>
      </c>
      <c r="X43" s="1020">
        <f t="shared" si="8"/>
        <v>0</v>
      </c>
      <c r="Y43" s="1020">
        <f t="shared" si="9"/>
        <v>0</v>
      </c>
      <c r="Z43" s="842">
        <f t="shared" si="25"/>
        <v>0</v>
      </c>
      <c r="AA43" s="842">
        <f t="shared" si="26"/>
        <v>0</v>
      </c>
      <c r="AB43" s="842">
        <f t="shared" si="26"/>
        <v>0</v>
      </c>
      <c r="AC43" s="842">
        <f t="shared" si="19"/>
        <v>0</v>
      </c>
      <c r="AD43" s="1020">
        <f t="shared" si="20"/>
        <v>0</v>
      </c>
      <c r="AE43" s="1537">
        <f t="shared" si="21"/>
        <v>0</v>
      </c>
    </row>
    <row r="44" spans="1:31" s="1021" customFormat="1" ht="30.75" hidden="1" customHeight="1">
      <c r="A44" s="837"/>
      <c r="B44" s="838"/>
      <c r="C44" s="841"/>
      <c r="D44" s="841"/>
      <c r="E44" s="840"/>
      <c r="F44" s="841"/>
      <c r="G44" s="841"/>
      <c r="H44" s="841">
        <f t="shared" si="0"/>
        <v>240</v>
      </c>
      <c r="I44" s="840">
        <f t="shared" si="10"/>
        <v>3.96</v>
      </c>
      <c r="J44" s="840"/>
      <c r="K44" s="840">
        <f t="shared" si="11"/>
        <v>0.84</v>
      </c>
      <c r="L44" s="840">
        <f t="shared" si="1"/>
        <v>1.04</v>
      </c>
      <c r="M44" s="1020">
        <f t="shared" si="2"/>
        <v>0</v>
      </c>
      <c r="N44" s="1020">
        <f t="shared" si="23"/>
        <v>0</v>
      </c>
      <c r="O44" s="1020">
        <f t="shared" si="3"/>
        <v>0</v>
      </c>
      <c r="P44" s="1020">
        <f t="shared" si="4"/>
        <v>0</v>
      </c>
      <c r="Q44" s="1020">
        <f t="shared" si="24"/>
        <v>0</v>
      </c>
      <c r="R44" s="1020">
        <v>0.2</v>
      </c>
      <c r="S44" s="1020">
        <f t="shared" si="5"/>
        <v>0</v>
      </c>
      <c r="T44" s="1020">
        <f t="shared" si="14"/>
        <v>0</v>
      </c>
      <c r="U44" s="1020">
        <f t="shared" si="6"/>
        <v>0</v>
      </c>
      <c r="V44" s="1020">
        <f t="shared" si="7"/>
        <v>0</v>
      </c>
      <c r="W44" s="1020">
        <f t="shared" si="15"/>
        <v>0</v>
      </c>
      <c r="X44" s="1020">
        <f t="shared" si="8"/>
        <v>0</v>
      </c>
      <c r="Y44" s="1020">
        <f t="shared" si="9"/>
        <v>0</v>
      </c>
      <c r="Z44" s="842">
        <f t="shared" si="25"/>
        <v>0</v>
      </c>
      <c r="AA44" s="842">
        <f t="shared" si="26"/>
        <v>0</v>
      </c>
      <c r="AB44" s="842">
        <f t="shared" si="26"/>
        <v>0</v>
      </c>
      <c r="AC44" s="842">
        <f t="shared" si="19"/>
        <v>0</v>
      </c>
      <c r="AD44" s="1020">
        <f t="shared" si="20"/>
        <v>0</v>
      </c>
      <c r="AE44" s="1537">
        <f t="shared" si="21"/>
        <v>0</v>
      </c>
    </row>
    <row r="45" spans="1:31" s="1022" customFormat="1" ht="30.75" hidden="1" customHeight="1">
      <c r="A45" s="837"/>
      <c r="B45" s="838"/>
      <c r="C45" s="841"/>
      <c r="D45" s="841"/>
      <c r="E45" s="840"/>
      <c r="F45" s="841"/>
      <c r="G45" s="841"/>
      <c r="H45" s="841">
        <f t="shared" si="0"/>
        <v>240</v>
      </c>
      <c r="I45" s="840">
        <f t="shared" si="10"/>
        <v>3.96</v>
      </c>
      <c r="J45" s="840"/>
      <c r="K45" s="840">
        <f t="shared" si="11"/>
        <v>0.84</v>
      </c>
      <c r="L45" s="840">
        <f t="shared" si="1"/>
        <v>1.04</v>
      </c>
      <c r="M45" s="1020">
        <f t="shared" si="2"/>
        <v>0</v>
      </c>
      <c r="N45" s="1020">
        <f t="shared" si="23"/>
        <v>0</v>
      </c>
      <c r="O45" s="1020">
        <f t="shared" si="3"/>
        <v>0</v>
      </c>
      <c r="P45" s="1020">
        <f t="shared" si="4"/>
        <v>0</v>
      </c>
      <c r="Q45" s="1020">
        <f t="shared" si="24"/>
        <v>0</v>
      </c>
      <c r="R45" s="1020">
        <v>0.2</v>
      </c>
      <c r="S45" s="1020">
        <f t="shared" si="5"/>
        <v>0</v>
      </c>
      <c r="T45" s="1020">
        <f t="shared" si="14"/>
        <v>0</v>
      </c>
      <c r="U45" s="1020">
        <f t="shared" si="6"/>
        <v>0</v>
      </c>
      <c r="V45" s="1020">
        <f t="shared" si="7"/>
        <v>0</v>
      </c>
      <c r="W45" s="1020">
        <f t="shared" si="15"/>
        <v>0</v>
      </c>
      <c r="X45" s="1020">
        <f t="shared" si="8"/>
        <v>0</v>
      </c>
      <c r="Y45" s="1020">
        <f t="shared" si="9"/>
        <v>0</v>
      </c>
      <c r="Z45" s="842">
        <f t="shared" si="25"/>
        <v>0</v>
      </c>
      <c r="AA45" s="842">
        <f t="shared" si="26"/>
        <v>0</v>
      </c>
      <c r="AB45" s="842">
        <f t="shared" si="26"/>
        <v>0</v>
      </c>
      <c r="AC45" s="842">
        <f t="shared" si="19"/>
        <v>0</v>
      </c>
      <c r="AD45" s="1020">
        <f t="shared" si="20"/>
        <v>0</v>
      </c>
      <c r="AE45" s="1537">
        <f t="shared" si="21"/>
        <v>0</v>
      </c>
    </row>
    <row r="46" spans="1:31" s="1021" customFormat="1" ht="30.75" hidden="1" customHeight="1">
      <c r="A46" s="837"/>
      <c r="B46" s="838"/>
      <c r="C46" s="841"/>
      <c r="D46" s="841"/>
      <c r="E46" s="840"/>
      <c r="F46" s="841"/>
      <c r="G46" s="841"/>
      <c r="H46" s="841">
        <f t="shared" si="0"/>
        <v>240</v>
      </c>
      <c r="I46" s="840">
        <f t="shared" si="10"/>
        <v>3.96</v>
      </c>
      <c r="J46" s="840"/>
      <c r="K46" s="840">
        <f t="shared" si="11"/>
        <v>0.84</v>
      </c>
      <c r="L46" s="840">
        <f t="shared" si="1"/>
        <v>1.04</v>
      </c>
      <c r="M46" s="1020">
        <f t="shared" si="2"/>
        <v>0</v>
      </c>
      <c r="N46" s="1020">
        <f t="shared" si="23"/>
        <v>0</v>
      </c>
      <c r="O46" s="1020">
        <f t="shared" si="3"/>
        <v>0</v>
      </c>
      <c r="P46" s="1020">
        <f t="shared" si="4"/>
        <v>0</v>
      </c>
      <c r="Q46" s="1020">
        <f t="shared" si="24"/>
        <v>0</v>
      </c>
      <c r="R46" s="1020">
        <v>0.2</v>
      </c>
      <c r="S46" s="1020">
        <f t="shared" si="5"/>
        <v>0</v>
      </c>
      <c r="T46" s="1020">
        <f t="shared" si="14"/>
        <v>0</v>
      </c>
      <c r="U46" s="1020">
        <f t="shared" si="6"/>
        <v>0</v>
      </c>
      <c r="V46" s="1020">
        <f t="shared" si="7"/>
        <v>0</v>
      </c>
      <c r="W46" s="1020">
        <f t="shared" si="15"/>
        <v>0</v>
      </c>
      <c r="X46" s="1020">
        <f t="shared" si="8"/>
        <v>0</v>
      </c>
      <c r="Y46" s="1020">
        <f t="shared" si="9"/>
        <v>0</v>
      </c>
      <c r="Z46" s="842">
        <f t="shared" si="25"/>
        <v>0</v>
      </c>
      <c r="AA46" s="842">
        <f t="shared" si="26"/>
        <v>0</v>
      </c>
      <c r="AB46" s="842">
        <f t="shared" si="26"/>
        <v>0</v>
      </c>
      <c r="AC46" s="842">
        <f t="shared" si="19"/>
        <v>0</v>
      </c>
      <c r="AD46" s="1020">
        <f t="shared" si="20"/>
        <v>0</v>
      </c>
      <c r="AE46" s="1537">
        <f t="shared" si="21"/>
        <v>0</v>
      </c>
    </row>
    <row r="47" spans="1:31" s="1021" customFormat="1" ht="30.75" hidden="1" customHeight="1">
      <c r="A47" s="837"/>
      <c r="B47" s="838"/>
      <c r="C47" s="841"/>
      <c r="D47" s="841"/>
      <c r="E47" s="840"/>
      <c r="F47" s="841"/>
      <c r="G47" s="841"/>
      <c r="H47" s="841">
        <f t="shared" si="0"/>
        <v>240</v>
      </c>
      <c r="I47" s="840">
        <f t="shared" si="10"/>
        <v>3.96</v>
      </c>
      <c r="J47" s="840"/>
      <c r="K47" s="840">
        <f t="shared" si="11"/>
        <v>0.84</v>
      </c>
      <c r="L47" s="840">
        <f t="shared" si="1"/>
        <v>1.04</v>
      </c>
      <c r="M47" s="1020">
        <f t="shared" si="2"/>
        <v>0</v>
      </c>
      <c r="N47" s="1020">
        <f t="shared" si="23"/>
        <v>0</v>
      </c>
      <c r="O47" s="1020">
        <f t="shared" si="3"/>
        <v>0</v>
      </c>
      <c r="P47" s="1020">
        <f t="shared" si="4"/>
        <v>0</v>
      </c>
      <c r="Q47" s="1020">
        <f t="shared" si="24"/>
        <v>0</v>
      </c>
      <c r="R47" s="1020">
        <v>0.2</v>
      </c>
      <c r="S47" s="1020">
        <f t="shared" si="5"/>
        <v>0</v>
      </c>
      <c r="T47" s="1020">
        <f t="shared" si="14"/>
        <v>0</v>
      </c>
      <c r="U47" s="1020">
        <f t="shared" si="6"/>
        <v>0</v>
      </c>
      <c r="V47" s="1020">
        <f t="shared" si="7"/>
        <v>0</v>
      </c>
      <c r="W47" s="1020">
        <f t="shared" si="15"/>
        <v>0</v>
      </c>
      <c r="X47" s="1020">
        <f t="shared" si="8"/>
        <v>0</v>
      </c>
      <c r="Y47" s="1020">
        <f t="shared" si="9"/>
        <v>0</v>
      </c>
      <c r="Z47" s="842">
        <f t="shared" si="25"/>
        <v>0</v>
      </c>
      <c r="AA47" s="842">
        <f t="shared" si="26"/>
        <v>0</v>
      </c>
      <c r="AB47" s="842">
        <f t="shared" si="26"/>
        <v>0</v>
      </c>
      <c r="AC47" s="842">
        <f t="shared" si="19"/>
        <v>0</v>
      </c>
      <c r="AD47" s="1020">
        <f t="shared" si="20"/>
        <v>0</v>
      </c>
      <c r="AE47" s="1537">
        <f t="shared" si="21"/>
        <v>0</v>
      </c>
    </row>
    <row r="48" spans="1:31" s="1022" customFormat="1" ht="30.75" hidden="1" customHeight="1">
      <c r="A48" s="837"/>
      <c r="B48" s="838"/>
      <c r="C48" s="841"/>
      <c r="D48" s="841"/>
      <c r="E48" s="840"/>
      <c r="F48" s="841"/>
      <c r="G48" s="841"/>
      <c r="H48" s="841">
        <f t="shared" si="0"/>
        <v>240</v>
      </c>
      <c r="I48" s="840">
        <f t="shared" si="10"/>
        <v>3.96</v>
      </c>
      <c r="J48" s="840"/>
      <c r="K48" s="840">
        <f t="shared" si="11"/>
        <v>0.84</v>
      </c>
      <c r="L48" s="840">
        <f t="shared" si="1"/>
        <v>1.04</v>
      </c>
      <c r="M48" s="1020">
        <f t="shared" si="2"/>
        <v>0</v>
      </c>
      <c r="N48" s="1020">
        <f t="shared" si="23"/>
        <v>0</v>
      </c>
      <c r="O48" s="1020">
        <f t="shared" si="3"/>
        <v>0</v>
      </c>
      <c r="P48" s="1020">
        <f t="shared" si="4"/>
        <v>0</v>
      </c>
      <c r="Q48" s="1020">
        <f t="shared" si="24"/>
        <v>0</v>
      </c>
      <c r="R48" s="1020">
        <v>0.2</v>
      </c>
      <c r="S48" s="1020">
        <f t="shared" si="5"/>
        <v>0</v>
      </c>
      <c r="T48" s="1020">
        <f t="shared" si="14"/>
        <v>0</v>
      </c>
      <c r="U48" s="1020">
        <f t="shared" si="6"/>
        <v>0</v>
      </c>
      <c r="V48" s="1020">
        <f t="shared" si="7"/>
        <v>0</v>
      </c>
      <c r="W48" s="1020">
        <f t="shared" si="15"/>
        <v>0</v>
      </c>
      <c r="X48" s="1020">
        <f t="shared" si="8"/>
        <v>0</v>
      </c>
      <c r="Y48" s="1020">
        <f t="shared" si="9"/>
        <v>0</v>
      </c>
      <c r="Z48" s="842">
        <f t="shared" si="25"/>
        <v>0</v>
      </c>
      <c r="AA48" s="842">
        <f t="shared" si="26"/>
        <v>0</v>
      </c>
      <c r="AB48" s="842">
        <f t="shared" si="26"/>
        <v>0</v>
      </c>
      <c r="AC48" s="842">
        <f t="shared" si="19"/>
        <v>0</v>
      </c>
      <c r="AD48" s="1020">
        <f t="shared" si="20"/>
        <v>0</v>
      </c>
      <c r="AE48" s="1537">
        <f t="shared" si="21"/>
        <v>0</v>
      </c>
    </row>
    <row r="49" spans="1:31" s="1021" customFormat="1" ht="30.6" hidden="1" customHeight="1">
      <c r="A49" s="837"/>
      <c r="B49" s="838"/>
      <c r="C49" s="841"/>
      <c r="D49" s="841"/>
      <c r="E49" s="840"/>
      <c r="F49" s="841"/>
      <c r="G49" s="841"/>
      <c r="H49" s="841">
        <f t="shared" si="0"/>
        <v>240</v>
      </c>
      <c r="I49" s="840">
        <f t="shared" si="10"/>
        <v>3.96</v>
      </c>
      <c r="J49" s="840"/>
      <c r="K49" s="840">
        <f t="shared" si="11"/>
        <v>0.84</v>
      </c>
      <c r="L49" s="840">
        <f t="shared" si="1"/>
        <v>1.04</v>
      </c>
      <c r="M49" s="1020">
        <f t="shared" si="2"/>
        <v>0</v>
      </c>
      <c r="N49" s="1020">
        <f t="shared" si="23"/>
        <v>0</v>
      </c>
      <c r="O49" s="1020">
        <f t="shared" si="3"/>
        <v>0</v>
      </c>
      <c r="P49" s="1020">
        <f t="shared" si="4"/>
        <v>0</v>
      </c>
      <c r="Q49" s="1020">
        <f t="shared" si="24"/>
        <v>0</v>
      </c>
      <c r="R49" s="1020">
        <v>0.2</v>
      </c>
      <c r="S49" s="1020">
        <f t="shared" si="5"/>
        <v>0</v>
      </c>
      <c r="T49" s="1020">
        <f t="shared" si="14"/>
        <v>0</v>
      </c>
      <c r="U49" s="1020">
        <f t="shared" si="6"/>
        <v>0</v>
      </c>
      <c r="V49" s="1020">
        <f t="shared" si="7"/>
        <v>0</v>
      </c>
      <c r="W49" s="1020">
        <f t="shared" si="15"/>
        <v>0</v>
      </c>
      <c r="X49" s="1020">
        <f t="shared" si="8"/>
        <v>0</v>
      </c>
      <c r="Y49" s="1020">
        <f t="shared" si="9"/>
        <v>0</v>
      </c>
      <c r="Z49" s="842">
        <f t="shared" si="25"/>
        <v>0</v>
      </c>
      <c r="AA49" s="842">
        <f t="shared" si="26"/>
        <v>0</v>
      </c>
      <c r="AB49" s="842">
        <f t="shared" si="26"/>
        <v>0</v>
      </c>
      <c r="AC49" s="842">
        <f t="shared" si="19"/>
        <v>0</v>
      </c>
      <c r="AD49" s="1020">
        <f t="shared" si="20"/>
        <v>0</v>
      </c>
      <c r="AE49" s="1537">
        <f t="shared" si="21"/>
        <v>0</v>
      </c>
    </row>
    <row r="50" spans="1:31" s="1022" customFormat="1" ht="30.75" hidden="1" customHeight="1">
      <c r="A50" s="837"/>
      <c r="B50" s="838"/>
      <c r="C50" s="841"/>
      <c r="D50" s="841"/>
      <c r="E50" s="840"/>
      <c r="F50" s="841"/>
      <c r="G50" s="841"/>
      <c r="H50" s="841">
        <f t="shared" si="0"/>
        <v>240</v>
      </c>
      <c r="I50" s="840">
        <f t="shared" si="10"/>
        <v>3.96</v>
      </c>
      <c r="J50" s="840"/>
      <c r="K50" s="840">
        <f t="shared" si="11"/>
        <v>0.84</v>
      </c>
      <c r="L50" s="840">
        <f t="shared" si="1"/>
        <v>1.04</v>
      </c>
      <c r="M50" s="1020">
        <f t="shared" si="2"/>
        <v>0</v>
      </c>
      <c r="N50" s="1020">
        <f t="shared" si="23"/>
        <v>0</v>
      </c>
      <c r="O50" s="1020">
        <f t="shared" si="3"/>
        <v>0</v>
      </c>
      <c r="P50" s="1020">
        <f t="shared" si="4"/>
        <v>0</v>
      </c>
      <c r="Q50" s="1020">
        <f t="shared" si="24"/>
        <v>0</v>
      </c>
      <c r="R50" s="1020">
        <v>0.2</v>
      </c>
      <c r="S50" s="1020">
        <f t="shared" si="5"/>
        <v>0</v>
      </c>
      <c r="T50" s="1020">
        <f t="shared" si="14"/>
        <v>0</v>
      </c>
      <c r="U50" s="1020">
        <f t="shared" si="6"/>
        <v>0</v>
      </c>
      <c r="V50" s="1020">
        <f t="shared" si="7"/>
        <v>0</v>
      </c>
      <c r="W50" s="1020">
        <f t="shared" si="15"/>
        <v>0</v>
      </c>
      <c r="X50" s="1020">
        <f t="shared" si="8"/>
        <v>0</v>
      </c>
      <c r="Y50" s="1020">
        <f t="shared" si="9"/>
        <v>0</v>
      </c>
      <c r="Z50" s="842">
        <f t="shared" si="25"/>
        <v>0</v>
      </c>
      <c r="AA50" s="842">
        <f t="shared" si="26"/>
        <v>0</v>
      </c>
      <c r="AB50" s="842">
        <f t="shared" si="26"/>
        <v>0</v>
      </c>
      <c r="AC50" s="842">
        <f t="shared" si="19"/>
        <v>0</v>
      </c>
      <c r="AD50" s="1020">
        <f t="shared" si="20"/>
        <v>0</v>
      </c>
      <c r="AE50" s="1537">
        <f t="shared" si="21"/>
        <v>0</v>
      </c>
    </row>
    <row r="51" spans="1:31" s="1021" customFormat="1" ht="30.75" hidden="1" customHeight="1">
      <c r="A51" s="837"/>
      <c r="B51" s="838"/>
      <c r="C51" s="841"/>
      <c r="D51" s="841"/>
      <c r="E51" s="840"/>
      <c r="F51" s="841"/>
      <c r="G51" s="841"/>
      <c r="H51" s="841">
        <f t="shared" si="0"/>
        <v>240</v>
      </c>
      <c r="I51" s="840">
        <f t="shared" si="10"/>
        <v>3.96</v>
      </c>
      <c r="J51" s="840"/>
      <c r="K51" s="840">
        <f t="shared" si="11"/>
        <v>0.84</v>
      </c>
      <c r="L51" s="840">
        <f t="shared" si="1"/>
        <v>1.04</v>
      </c>
      <c r="M51" s="1020">
        <f t="shared" si="2"/>
        <v>0</v>
      </c>
      <c r="N51" s="1020">
        <f t="shared" si="23"/>
        <v>0</v>
      </c>
      <c r="O51" s="1020">
        <f t="shared" si="3"/>
        <v>0</v>
      </c>
      <c r="P51" s="1020">
        <f t="shared" si="4"/>
        <v>0</v>
      </c>
      <c r="Q51" s="1020">
        <f t="shared" si="24"/>
        <v>0</v>
      </c>
      <c r="R51" s="1020">
        <v>0.2</v>
      </c>
      <c r="S51" s="1020">
        <f t="shared" si="5"/>
        <v>0</v>
      </c>
      <c r="T51" s="1020">
        <f t="shared" si="14"/>
        <v>0</v>
      </c>
      <c r="U51" s="1020">
        <f t="shared" si="6"/>
        <v>0</v>
      </c>
      <c r="V51" s="1020">
        <f t="shared" si="7"/>
        <v>0</v>
      </c>
      <c r="W51" s="1020">
        <f t="shared" si="15"/>
        <v>0</v>
      </c>
      <c r="X51" s="1020">
        <f t="shared" si="8"/>
        <v>0</v>
      </c>
      <c r="Y51" s="1020">
        <f t="shared" si="9"/>
        <v>0</v>
      </c>
      <c r="Z51" s="842">
        <f t="shared" si="25"/>
        <v>0</v>
      </c>
      <c r="AA51" s="842">
        <f t="shared" si="26"/>
        <v>0</v>
      </c>
      <c r="AB51" s="842">
        <f t="shared" si="26"/>
        <v>0</v>
      </c>
      <c r="AC51" s="842">
        <f t="shared" si="19"/>
        <v>0</v>
      </c>
      <c r="AD51" s="1020">
        <f t="shared" si="20"/>
        <v>0</v>
      </c>
      <c r="AE51" s="1537">
        <f t="shared" si="21"/>
        <v>0</v>
      </c>
    </row>
    <row r="52" spans="1:31" s="1021" customFormat="1" ht="30.75" hidden="1" customHeight="1">
      <c r="A52" s="837"/>
      <c r="B52" s="838"/>
      <c r="C52" s="841"/>
      <c r="D52" s="841"/>
      <c r="E52" s="840"/>
      <c r="F52" s="841"/>
      <c r="G52" s="841"/>
      <c r="H52" s="841">
        <f t="shared" si="0"/>
        <v>240</v>
      </c>
      <c r="I52" s="840">
        <f t="shared" si="10"/>
        <v>3.96</v>
      </c>
      <c r="J52" s="840"/>
      <c r="K52" s="840">
        <f t="shared" si="11"/>
        <v>0.84</v>
      </c>
      <c r="L52" s="840">
        <f t="shared" si="1"/>
        <v>1.04</v>
      </c>
      <c r="M52" s="1020">
        <f t="shared" si="2"/>
        <v>0</v>
      </c>
      <c r="N52" s="1020">
        <f t="shared" si="23"/>
        <v>0</v>
      </c>
      <c r="O52" s="1020">
        <f t="shared" si="3"/>
        <v>0</v>
      </c>
      <c r="P52" s="1020">
        <f t="shared" si="4"/>
        <v>0</v>
      </c>
      <c r="Q52" s="1020">
        <f t="shared" si="24"/>
        <v>0</v>
      </c>
      <c r="R52" s="1020">
        <v>0.2</v>
      </c>
      <c r="S52" s="1020">
        <f t="shared" si="5"/>
        <v>0</v>
      </c>
      <c r="T52" s="1020">
        <f t="shared" si="14"/>
        <v>0</v>
      </c>
      <c r="U52" s="1020">
        <f t="shared" si="6"/>
        <v>0</v>
      </c>
      <c r="V52" s="1020">
        <f t="shared" si="7"/>
        <v>0</v>
      </c>
      <c r="W52" s="1020">
        <f t="shared" si="15"/>
        <v>0</v>
      </c>
      <c r="X52" s="1020">
        <f t="shared" si="8"/>
        <v>0</v>
      </c>
      <c r="Y52" s="1020">
        <f t="shared" si="9"/>
        <v>0</v>
      </c>
      <c r="Z52" s="842">
        <f t="shared" si="25"/>
        <v>0</v>
      </c>
      <c r="AA52" s="842">
        <f t="shared" si="26"/>
        <v>0</v>
      </c>
      <c r="AB52" s="842">
        <f t="shared" si="26"/>
        <v>0</v>
      </c>
      <c r="AC52" s="842">
        <f t="shared" si="19"/>
        <v>0</v>
      </c>
      <c r="AD52" s="1020">
        <f t="shared" si="20"/>
        <v>0</v>
      </c>
      <c r="AE52" s="1537">
        <f t="shared" si="21"/>
        <v>0</v>
      </c>
    </row>
    <row r="53" spans="1:31" s="1021" customFormat="1" ht="30.75" hidden="1" customHeight="1">
      <c r="A53" s="837"/>
      <c r="B53" s="838"/>
      <c r="C53" s="841"/>
      <c r="D53" s="841"/>
      <c r="E53" s="840"/>
      <c r="F53" s="841"/>
      <c r="G53" s="841"/>
      <c r="H53" s="841">
        <f t="shared" si="0"/>
        <v>240</v>
      </c>
      <c r="I53" s="840">
        <f t="shared" si="10"/>
        <v>3.96</v>
      </c>
      <c r="J53" s="840"/>
      <c r="K53" s="840">
        <f t="shared" si="11"/>
        <v>0.84</v>
      </c>
      <c r="L53" s="840">
        <f t="shared" si="1"/>
        <v>1.04</v>
      </c>
      <c r="M53" s="1020">
        <f t="shared" si="2"/>
        <v>0</v>
      </c>
      <c r="N53" s="1020">
        <f t="shared" si="23"/>
        <v>0</v>
      </c>
      <c r="O53" s="1020">
        <f t="shared" si="3"/>
        <v>0</v>
      </c>
      <c r="P53" s="1020">
        <f t="shared" si="4"/>
        <v>0</v>
      </c>
      <c r="Q53" s="1020">
        <f t="shared" si="24"/>
        <v>0</v>
      </c>
      <c r="R53" s="1020">
        <v>0.2</v>
      </c>
      <c r="S53" s="1020">
        <f t="shared" si="5"/>
        <v>0</v>
      </c>
      <c r="T53" s="1020">
        <f t="shared" si="14"/>
        <v>0</v>
      </c>
      <c r="U53" s="1020">
        <f t="shared" si="6"/>
        <v>0</v>
      </c>
      <c r="V53" s="1020">
        <f t="shared" si="7"/>
        <v>0</v>
      </c>
      <c r="W53" s="1020">
        <f t="shared" si="15"/>
        <v>0</v>
      </c>
      <c r="X53" s="1020">
        <f t="shared" si="8"/>
        <v>0</v>
      </c>
      <c r="Y53" s="1020">
        <f t="shared" si="9"/>
        <v>0</v>
      </c>
      <c r="Z53" s="842">
        <f t="shared" si="25"/>
        <v>0</v>
      </c>
      <c r="AA53" s="842">
        <f t="shared" si="26"/>
        <v>0</v>
      </c>
      <c r="AB53" s="842">
        <f t="shared" si="26"/>
        <v>0</v>
      </c>
      <c r="AC53" s="842">
        <f t="shared" si="19"/>
        <v>0</v>
      </c>
      <c r="AD53" s="1020">
        <f t="shared" si="20"/>
        <v>0</v>
      </c>
      <c r="AE53" s="1537">
        <f t="shared" si="21"/>
        <v>0</v>
      </c>
    </row>
    <row r="54" spans="1:31" s="1021" customFormat="1" ht="26.65" hidden="1" customHeight="1">
      <c r="A54" s="837"/>
      <c r="B54" s="838"/>
      <c r="C54" s="841"/>
      <c r="D54" s="841"/>
      <c r="E54" s="840"/>
      <c r="F54" s="841"/>
      <c r="G54" s="841"/>
      <c r="H54" s="841">
        <f t="shared" si="0"/>
        <v>240</v>
      </c>
      <c r="I54" s="840">
        <f t="shared" si="10"/>
        <v>3.96</v>
      </c>
      <c r="J54" s="840"/>
      <c r="K54" s="840">
        <f t="shared" si="11"/>
        <v>0.84</v>
      </c>
      <c r="L54" s="840">
        <f t="shared" si="1"/>
        <v>1.04</v>
      </c>
      <c r="M54" s="1020">
        <f t="shared" si="2"/>
        <v>0</v>
      </c>
      <c r="N54" s="1020">
        <f t="shared" si="23"/>
        <v>0</v>
      </c>
      <c r="O54" s="1020">
        <f t="shared" si="3"/>
        <v>0</v>
      </c>
      <c r="P54" s="1020">
        <f t="shared" si="4"/>
        <v>0</v>
      </c>
      <c r="Q54" s="1020">
        <f t="shared" si="24"/>
        <v>0</v>
      </c>
      <c r="R54" s="1020">
        <v>0.2</v>
      </c>
      <c r="S54" s="1020">
        <f t="shared" si="5"/>
        <v>0</v>
      </c>
      <c r="T54" s="1020">
        <f t="shared" si="14"/>
        <v>0</v>
      </c>
      <c r="U54" s="1020">
        <f t="shared" si="6"/>
        <v>0</v>
      </c>
      <c r="V54" s="1020">
        <f t="shared" si="7"/>
        <v>0</v>
      </c>
      <c r="W54" s="1020">
        <f t="shared" si="15"/>
        <v>0</v>
      </c>
      <c r="X54" s="1020">
        <f t="shared" si="8"/>
        <v>0</v>
      </c>
      <c r="Y54" s="1020">
        <f t="shared" si="9"/>
        <v>0</v>
      </c>
      <c r="Z54" s="842">
        <f t="shared" si="25"/>
        <v>0</v>
      </c>
      <c r="AA54" s="842">
        <f t="shared" si="26"/>
        <v>0</v>
      </c>
      <c r="AB54" s="842">
        <f t="shared" si="26"/>
        <v>0</v>
      </c>
      <c r="AC54" s="842">
        <f t="shared" si="19"/>
        <v>0</v>
      </c>
      <c r="AD54" s="1020">
        <f t="shared" si="20"/>
        <v>0</v>
      </c>
      <c r="AE54" s="1537">
        <f t="shared" si="21"/>
        <v>0</v>
      </c>
    </row>
    <row r="55" spans="1:31" s="1022" customFormat="1" ht="30.75" hidden="1" customHeight="1">
      <c r="A55" s="837"/>
      <c r="B55" s="838"/>
      <c r="C55" s="841"/>
      <c r="D55" s="841"/>
      <c r="E55" s="840"/>
      <c r="F55" s="841"/>
      <c r="G55" s="841"/>
      <c r="H55" s="841">
        <f t="shared" si="0"/>
        <v>240</v>
      </c>
      <c r="I55" s="840">
        <f t="shared" si="10"/>
        <v>3.96</v>
      </c>
      <c r="J55" s="840"/>
      <c r="K55" s="840">
        <f t="shared" si="11"/>
        <v>0.84</v>
      </c>
      <c r="L55" s="840">
        <f t="shared" si="1"/>
        <v>1.04</v>
      </c>
      <c r="M55" s="1020">
        <f t="shared" si="2"/>
        <v>0</v>
      </c>
      <c r="N55" s="1020">
        <f t="shared" si="23"/>
        <v>0</v>
      </c>
      <c r="O55" s="1020">
        <f t="shared" si="3"/>
        <v>0</v>
      </c>
      <c r="P55" s="1020">
        <f t="shared" si="4"/>
        <v>0</v>
      </c>
      <c r="Q55" s="1020">
        <f t="shared" si="24"/>
        <v>0</v>
      </c>
      <c r="R55" s="1020">
        <v>0.2</v>
      </c>
      <c r="S55" s="1020">
        <f t="shared" si="5"/>
        <v>0</v>
      </c>
      <c r="T55" s="1020">
        <f t="shared" si="14"/>
        <v>0</v>
      </c>
      <c r="U55" s="1020">
        <f t="shared" si="6"/>
        <v>0</v>
      </c>
      <c r="V55" s="1020">
        <f t="shared" si="7"/>
        <v>0</v>
      </c>
      <c r="W55" s="1020">
        <f t="shared" si="15"/>
        <v>0</v>
      </c>
      <c r="X55" s="1020">
        <f t="shared" si="8"/>
        <v>0</v>
      </c>
      <c r="Y55" s="1020">
        <f t="shared" si="9"/>
        <v>0</v>
      </c>
      <c r="Z55" s="842">
        <f t="shared" si="25"/>
        <v>0</v>
      </c>
      <c r="AA55" s="842">
        <f t="shared" si="26"/>
        <v>0</v>
      </c>
      <c r="AB55" s="842">
        <f t="shared" si="26"/>
        <v>0</v>
      </c>
      <c r="AC55" s="842">
        <f t="shared" si="19"/>
        <v>0</v>
      </c>
      <c r="AD55" s="1020">
        <f t="shared" si="20"/>
        <v>0</v>
      </c>
      <c r="AE55" s="1537">
        <f t="shared" si="21"/>
        <v>0</v>
      </c>
    </row>
    <row r="56" spans="1:31" s="1023" customFormat="1" ht="30.75" hidden="1" customHeight="1">
      <c r="A56" s="837"/>
      <c r="B56" s="838"/>
      <c r="C56" s="841"/>
      <c r="D56" s="841"/>
      <c r="E56" s="840"/>
      <c r="F56" s="841"/>
      <c r="G56" s="841"/>
      <c r="H56" s="841">
        <f t="shared" si="0"/>
        <v>240</v>
      </c>
      <c r="I56" s="840">
        <f t="shared" si="10"/>
        <v>3.96</v>
      </c>
      <c r="J56" s="840"/>
      <c r="K56" s="840">
        <f t="shared" si="11"/>
        <v>0.84</v>
      </c>
      <c r="L56" s="840">
        <f t="shared" si="1"/>
        <v>1.04</v>
      </c>
      <c r="M56" s="1020">
        <f t="shared" si="2"/>
        <v>0</v>
      </c>
      <c r="N56" s="1020">
        <f t="shared" si="23"/>
        <v>0</v>
      </c>
      <c r="O56" s="1020">
        <f t="shared" si="3"/>
        <v>0</v>
      </c>
      <c r="P56" s="1020">
        <f t="shared" si="4"/>
        <v>0</v>
      </c>
      <c r="Q56" s="1020">
        <f t="shared" si="24"/>
        <v>0</v>
      </c>
      <c r="R56" s="1020">
        <v>0.2</v>
      </c>
      <c r="S56" s="1020">
        <f t="shared" si="5"/>
        <v>0</v>
      </c>
      <c r="T56" s="1020">
        <f t="shared" si="14"/>
        <v>0</v>
      </c>
      <c r="U56" s="1020">
        <f t="shared" si="6"/>
        <v>0</v>
      </c>
      <c r="V56" s="1020">
        <f t="shared" si="7"/>
        <v>0</v>
      </c>
      <c r="W56" s="1020">
        <f t="shared" si="15"/>
        <v>0</v>
      </c>
      <c r="X56" s="1020">
        <f t="shared" si="8"/>
        <v>0</v>
      </c>
      <c r="Y56" s="1020">
        <f t="shared" si="9"/>
        <v>0</v>
      </c>
      <c r="Z56" s="842">
        <f t="shared" si="25"/>
        <v>0</v>
      </c>
      <c r="AA56" s="842">
        <f t="shared" si="26"/>
        <v>0</v>
      </c>
      <c r="AB56" s="842">
        <f t="shared" si="26"/>
        <v>0</v>
      </c>
      <c r="AC56" s="842">
        <f t="shared" si="19"/>
        <v>0</v>
      </c>
      <c r="AD56" s="1020">
        <f t="shared" si="20"/>
        <v>0</v>
      </c>
      <c r="AE56" s="1537">
        <f t="shared" si="21"/>
        <v>0</v>
      </c>
    </row>
    <row r="57" spans="1:31" s="1023" customFormat="1" ht="30.75" hidden="1" customHeight="1">
      <c r="A57" s="837"/>
      <c r="B57" s="838"/>
      <c r="C57" s="841"/>
      <c r="D57" s="841"/>
      <c r="E57" s="840"/>
      <c r="F57" s="841"/>
      <c r="G57" s="841"/>
      <c r="H57" s="841">
        <f t="shared" si="0"/>
        <v>240</v>
      </c>
      <c r="I57" s="840">
        <f t="shared" si="10"/>
        <v>3.96</v>
      </c>
      <c r="J57" s="840"/>
      <c r="K57" s="840">
        <f t="shared" si="11"/>
        <v>0.84</v>
      </c>
      <c r="L57" s="840">
        <f t="shared" si="1"/>
        <v>1.04</v>
      </c>
      <c r="M57" s="1020">
        <f t="shared" si="2"/>
        <v>0</v>
      </c>
      <c r="N57" s="1020">
        <f t="shared" si="23"/>
        <v>0</v>
      </c>
      <c r="O57" s="1020">
        <f t="shared" si="3"/>
        <v>0</v>
      </c>
      <c r="P57" s="1020">
        <f t="shared" si="4"/>
        <v>0</v>
      </c>
      <c r="Q57" s="1020">
        <f t="shared" si="24"/>
        <v>0</v>
      </c>
      <c r="R57" s="1020">
        <v>0.2</v>
      </c>
      <c r="S57" s="1020">
        <f t="shared" si="5"/>
        <v>0</v>
      </c>
      <c r="T57" s="1020">
        <f t="shared" si="14"/>
        <v>0</v>
      </c>
      <c r="U57" s="1020">
        <f t="shared" si="6"/>
        <v>0</v>
      </c>
      <c r="V57" s="1020">
        <f t="shared" si="7"/>
        <v>0</v>
      </c>
      <c r="W57" s="1020">
        <f t="shared" si="15"/>
        <v>0</v>
      </c>
      <c r="X57" s="1020">
        <f t="shared" si="8"/>
        <v>0</v>
      </c>
      <c r="Y57" s="1020">
        <f t="shared" si="9"/>
        <v>0</v>
      </c>
      <c r="Z57" s="842">
        <f t="shared" si="25"/>
        <v>0</v>
      </c>
      <c r="AA57" s="842">
        <f t="shared" si="26"/>
        <v>0</v>
      </c>
      <c r="AB57" s="842">
        <f t="shared" si="26"/>
        <v>0</v>
      </c>
      <c r="AC57" s="842">
        <f t="shared" si="19"/>
        <v>0</v>
      </c>
      <c r="AD57" s="1020">
        <f t="shared" si="20"/>
        <v>0</v>
      </c>
      <c r="AE57" s="1537">
        <f t="shared" si="21"/>
        <v>0</v>
      </c>
    </row>
    <row r="58" spans="1:31" s="1024" customFormat="1" ht="30.75" hidden="1" customHeight="1">
      <c r="A58" s="837"/>
      <c r="B58" s="838"/>
      <c r="C58" s="841"/>
      <c r="D58" s="841"/>
      <c r="E58" s="840"/>
      <c r="F58" s="841"/>
      <c r="G58" s="841"/>
      <c r="H58" s="841">
        <f t="shared" si="0"/>
        <v>240</v>
      </c>
      <c r="I58" s="840">
        <f t="shared" si="10"/>
        <v>3.96</v>
      </c>
      <c r="J58" s="840"/>
      <c r="K58" s="840">
        <f t="shared" si="11"/>
        <v>0.84</v>
      </c>
      <c r="L58" s="840">
        <f t="shared" si="1"/>
        <v>1.04</v>
      </c>
      <c r="M58" s="1020">
        <f t="shared" si="2"/>
        <v>0</v>
      </c>
      <c r="N58" s="1020">
        <f t="shared" si="23"/>
        <v>0</v>
      </c>
      <c r="O58" s="1020">
        <f t="shared" si="3"/>
        <v>0</v>
      </c>
      <c r="P58" s="1020">
        <f t="shared" si="4"/>
        <v>0</v>
      </c>
      <c r="Q58" s="1020">
        <f t="shared" si="24"/>
        <v>0</v>
      </c>
      <c r="R58" s="1020">
        <v>0.2</v>
      </c>
      <c r="S58" s="1020">
        <f t="shared" si="5"/>
        <v>0</v>
      </c>
      <c r="T58" s="1020">
        <f t="shared" si="14"/>
        <v>0</v>
      </c>
      <c r="U58" s="1020">
        <f t="shared" si="6"/>
        <v>0</v>
      </c>
      <c r="V58" s="1020">
        <f t="shared" si="7"/>
        <v>0</v>
      </c>
      <c r="W58" s="1020">
        <f t="shared" si="15"/>
        <v>0</v>
      </c>
      <c r="X58" s="1020">
        <f t="shared" si="8"/>
        <v>0</v>
      </c>
      <c r="Y58" s="1020">
        <f t="shared" si="9"/>
        <v>0</v>
      </c>
      <c r="Z58" s="842">
        <f t="shared" si="25"/>
        <v>0</v>
      </c>
      <c r="AA58" s="842">
        <f t="shared" si="26"/>
        <v>0</v>
      </c>
      <c r="AB58" s="842">
        <f t="shared" si="26"/>
        <v>0</v>
      </c>
      <c r="AC58" s="842">
        <f t="shared" si="19"/>
        <v>0</v>
      </c>
      <c r="AD58" s="1020">
        <f t="shared" si="20"/>
        <v>0</v>
      </c>
      <c r="AE58" s="1537">
        <f t="shared" si="21"/>
        <v>0</v>
      </c>
    </row>
    <row r="59" spans="1:31" s="1021" customFormat="1" ht="30.75" hidden="1" customHeight="1">
      <c r="A59" s="837"/>
      <c r="B59" s="838"/>
      <c r="C59" s="841"/>
      <c r="D59" s="841"/>
      <c r="E59" s="840"/>
      <c r="F59" s="841"/>
      <c r="G59" s="841"/>
      <c r="H59" s="841">
        <f t="shared" si="0"/>
        <v>240</v>
      </c>
      <c r="I59" s="840">
        <f t="shared" si="10"/>
        <v>3.96</v>
      </c>
      <c r="J59" s="840"/>
      <c r="K59" s="840">
        <f t="shared" si="11"/>
        <v>0.84</v>
      </c>
      <c r="L59" s="840">
        <f t="shared" si="1"/>
        <v>1.04</v>
      </c>
      <c r="M59" s="1020">
        <f t="shared" si="2"/>
        <v>0</v>
      </c>
      <c r="N59" s="1020">
        <f t="shared" si="23"/>
        <v>0</v>
      </c>
      <c r="O59" s="1020">
        <f t="shared" si="3"/>
        <v>0</v>
      </c>
      <c r="P59" s="1020">
        <f t="shared" si="4"/>
        <v>0</v>
      </c>
      <c r="Q59" s="1020">
        <f t="shared" si="24"/>
        <v>0</v>
      </c>
      <c r="R59" s="1020">
        <v>0.2</v>
      </c>
      <c r="S59" s="1020">
        <f t="shared" si="5"/>
        <v>0</v>
      </c>
      <c r="T59" s="1020">
        <f t="shared" si="14"/>
        <v>0</v>
      </c>
      <c r="U59" s="1020">
        <f t="shared" si="6"/>
        <v>0</v>
      </c>
      <c r="V59" s="1020">
        <f t="shared" si="7"/>
        <v>0</v>
      </c>
      <c r="W59" s="1020">
        <f t="shared" si="15"/>
        <v>0</v>
      </c>
      <c r="X59" s="1020">
        <f t="shared" si="8"/>
        <v>0</v>
      </c>
      <c r="Y59" s="1020">
        <f t="shared" si="9"/>
        <v>0</v>
      </c>
      <c r="Z59" s="842">
        <f t="shared" si="25"/>
        <v>0</v>
      </c>
      <c r="AA59" s="842">
        <f t="shared" si="26"/>
        <v>0</v>
      </c>
      <c r="AB59" s="842">
        <f t="shared" si="26"/>
        <v>0</v>
      </c>
      <c r="AC59" s="842">
        <f t="shared" si="19"/>
        <v>0</v>
      </c>
      <c r="AD59" s="1020">
        <f t="shared" si="20"/>
        <v>0</v>
      </c>
      <c r="AE59" s="1537">
        <f t="shared" si="21"/>
        <v>0</v>
      </c>
    </row>
    <row r="60" spans="1:31" s="1021" customFormat="1" ht="30.75" hidden="1" customHeight="1">
      <c r="A60" s="837"/>
      <c r="B60" s="838"/>
      <c r="C60" s="841"/>
      <c r="D60" s="841"/>
      <c r="E60" s="840"/>
      <c r="F60" s="841"/>
      <c r="G60" s="841"/>
      <c r="H60" s="841">
        <f t="shared" si="0"/>
        <v>240</v>
      </c>
      <c r="I60" s="840">
        <f t="shared" si="10"/>
        <v>3.96</v>
      </c>
      <c r="J60" s="840"/>
      <c r="K60" s="840">
        <f t="shared" si="11"/>
        <v>0.84</v>
      </c>
      <c r="L60" s="840">
        <f t="shared" si="1"/>
        <v>1.04</v>
      </c>
      <c r="M60" s="1020">
        <f t="shared" si="2"/>
        <v>0</v>
      </c>
      <c r="N60" s="1020">
        <f t="shared" si="23"/>
        <v>0</v>
      </c>
      <c r="O60" s="1020">
        <f t="shared" si="3"/>
        <v>0</v>
      </c>
      <c r="P60" s="1020">
        <f t="shared" si="4"/>
        <v>0</v>
      </c>
      <c r="Q60" s="1020">
        <f t="shared" si="24"/>
        <v>0</v>
      </c>
      <c r="R60" s="1020">
        <v>0.2</v>
      </c>
      <c r="S60" s="1020">
        <f t="shared" si="5"/>
        <v>0</v>
      </c>
      <c r="T60" s="1020">
        <f t="shared" si="14"/>
        <v>0</v>
      </c>
      <c r="U60" s="1020">
        <f t="shared" si="6"/>
        <v>0</v>
      </c>
      <c r="V60" s="1020">
        <f t="shared" si="7"/>
        <v>0</v>
      </c>
      <c r="W60" s="1020">
        <f t="shared" si="15"/>
        <v>0</v>
      </c>
      <c r="X60" s="1020">
        <f t="shared" si="8"/>
        <v>0</v>
      </c>
      <c r="Y60" s="1020">
        <f t="shared" si="9"/>
        <v>0</v>
      </c>
      <c r="Z60" s="842">
        <f t="shared" si="25"/>
        <v>0</v>
      </c>
      <c r="AA60" s="842">
        <f t="shared" si="26"/>
        <v>0</v>
      </c>
      <c r="AB60" s="842">
        <f t="shared" si="26"/>
        <v>0</v>
      </c>
      <c r="AC60" s="842">
        <f t="shared" si="19"/>
        <v>0</v>
      </c>
      <c r="AD60" s="1020">
        <f t="shared" si="20"/>
        <v>0</v>
      </c>
      <c r="AE60" s="1537">
        <f t="shared" si="21"/>
        <v>0</v>
      </c>
    </row>
    <row r="61" spans="1:31" s="1021" customFormat="1" ht="30.75" hidden="1" customHeight="1">
      <c r="A61" s="837"/>
      <c r="B61" s="838"/>
      <c r="C61" s="841"/>
      <c r="D61" s="841"/>
      <c r="E61" s="840"/>
      <c r="F61" s="841"/>
      <c r="G61" s="841"/>
      <c r="H61" s="841">
        <f t="shared" si="0"/>
        <v>240</v>
      </c>
      <c r="I61" s="840">
        <f t="shared" si="10"/>
        <v>3.96</v>
      </c>
      <c r="J61" s="840"/>
      <c r="K61" s="840">
        <f t="shared" si="11"/>
        <v>0.84</v>
      </c>
      <c r="L61" s="840">
        <f t="shared" si="1"/>
        <v>1.04</v>
      </c>
      <c r="M61" s="1020">
        <f t="shared" si="2"/>
        <v>0</v>
      </c>
      <c r="N61" s="1020">
        <f t="shared" si="23"/>
        <v>0</v>
      </c>
      <c r="O61" s="1020">
        <f t="shared" si="3"/>
        <v>0</v>
      </c>
      <c r="P61" s="1020">
        <f t="shared" si="4"/>
        <v>0</v>
      </c>
      <c r="Q61" s="1020">
        <f t="shared" si="24"/>
        <v>0</v>
      </c>
      <c r="R61" s="1020">
        <v>0.2</v>
      </c>
      <c r="S61" s="1020">
        <f t="shared" si="5"/>
        <v>0</v>
      </c>
      <c r="T61" s="1020">
        <f t="shared" si="14"/>
        <v>0</v>
      </c>
      <c r="U61" s="1020">
        <f t="shared" si="6"/>
        <v>0</v>
      </c>
      <c r="V61" s="1020">
        <f t="shared" si="7"/>
        <v>0</v>
      </c>
      <c r="W61" s="1020">
        <f t="shared" si="15"/>
        <v>0</v>
      </c>
      <c r="X61" s="1020">
        <f t="shared" si="8"/>
        <v>0</v>
      </c>
      <c r="Y61" s="1020">
        <f t="shared" si="9"/>
        <v>0</v>
      </c>
      <c r="Z61" s="842">
        <f t="shared" si="25"/>
        <v>0</v>
      </c>
      <c r="AA61" s="842">
        <f t="shared" si="26"/>
        <v>0</v>
      </c>
      <c r="AB61" s="842">
        <f t="shared" si="26"/>
        <v>0</v>
      </c>
      <c r="AC61" s="842">
        <f t="shared" si="19"/>
        <v>0</v>
      </c>
      <c r="AD61" s="1020">
        <f t="shared" si="20"/>
        <v>0</v>
      </c>
      <c r="AE61" s="1537">
        <f t="shared" si="21"/>
        <v>0</v>
      </c>
    </row>
    <row r="62" spans="1:31" s="1021" customFormat="1" ht="30.75" hidden="1" customHeight="1">
      <c r="A62" s="837"/>
      <c r="B62" s="838"/>
      <c r="C62" s="841"/>
      <c r="D62" s="841"/>
      <c r="E62" s="840"/>
      <c r="F62" s="841"/>
      <c r="G62" s="841"/>
      <c r="H62" s="841">
        <f t="shared" si="0"/>
        <v>240</v>
      </c>
      <c r="I62" s="840">
        <f t="shared" si="10"/>
        <v>3.96</v>
      </c>
      <c r="J62" s="840"/>
      <c r="K62" s="840">
        <f t="shared" si="11"/>
        <v>0.84</v>
      </c>
      <c r="L62" s="840">
        <f t="shared" si="1"/>
        <v>1.04</v>
      </c>
      <c r="M62" s="1020">
        <f t="shared" si="2"/>
        <v>0</v>
      </c>
      <c r="N62" s="1020">
        <f t="shared" si="23"/>
        <v>0</v>
      </c>
      <c r="O62" s="1020">
        <f t="shared" si="3"/>
        <v>0</v>
      </c>
      <c r="P62" s="1020">
        <f t="shared" si="4"/>
        <v>0</v>
      </c>
      <c r="Q62" s="1020">
        <f t="shared" si="24"/>
        <v>0</v>
      </c>
      <c r="R62" s="1020">
        <v>0.2</v>
      </c>
      <c r="S62" s="1020">
        <f t="shared" si="5"/>
        <v>0</v>
      </c>
      <c r="T62" s="1020">
        <f t="shared" si="14"/>
        <v>0</v>
      </c>
      <c r="U62" s="1020">
        <f t="shared" si="6"/>
        <v>0</v>
      </c>
      <c r="V62" s="1020">
        <f t="shared" si="7"/>
        <v>0</v>
      </c>
      <c r="W62" s="1020">
        <f t="shared" si="15"/>
        <v>0</v>
      </c>
      <c r="X62" s="1020">
        <f t="shared" si="8"/>
        <v>0</v>
      </c>
      <c r="Y62" s="1020">
        <f t="shared" si="9"/>
        <v>0</v>
      </c>
      <c r="Z62" s="842">
        <f t="shared" si="25"/>
        <v>0</v>
      </c>
      <c r="AA62" s="842">
        <f t="shared" si="26"/>
        <v>0</v>
      </c>
      <c r="AB62" s="842">
        <f t="shared" si="26"/>
        <v>0</v>
      </c>
      <c r="AC62" s="842">
        <f>(E62/(20/8))*6.41</f>
        <v>0</v>
      </c>
      <c r="AD62" s="1020">
        <f t="shared" si="20"/>
        <v>0</v>
      </c>
      <c r="AE62" s="1537">
        <f t="shared" si="21"/>
        <v>0</v>
      </c>
    </row>
    <row r="63" spans="1:31" s="1021" customFormat="1" ht="30.75" hidden="1" customHeight="1">
      <c r="A63" s="837"/>
      <c r="B63" s="838"/>
      <c r="C63" s="841"/>
      <c r="D63" s="841"/>
      <c r="E63" s="840"/>
      <c r="F63" s="841"/>
      <c r="G63" s="841"/>
      <c r="H63" s="841">
        <f t="shared" si="0"/>
        <v>240</v>
      </c>
      <c r="I63" s="840">
        <f t="shared" si="10"/>
        <v>3.96</v>
      </c>
      <c r="J63" s="840"/>
      <c r="K63" s="840">
        <f t="shared" si="11"/>
        <v>0.84</v>
      </c>
      <c r="L63" s="840">
        <f t="shared" si="1"/>
        <v>1.04</v>
      </c>
      <c r="M63" s="1020">
        <f t="shared" si="2"/>
        <v>0</v>
      </c>
      <c r="N63" s="1020">
        <f t="shared" si="23"/>
        <v>0</v>
      </c>
      <c r="O63" s="1020">
        <f t="shared" si="3"/>
        <v>0</v>
      </c>
      <c r="P63" s="1020">
        <f t="shared" si="4"/>
        <v>0</v>
      </c>
      <c r="Q63" s="1020">
        <f t="shared" si="24"/>
        <v>0</v>
      </c>
      <c r="R63" s="1020">
        <v>0.2</v>
      </c>
      <c r="S63" s="1020">
        <f t="shared" si="5"/>
        <v>0</v>
      </c>
      <c r="T63" s="1020">
        <f t="shared" si="14"/>
        <v>0</v>
      </c>
      <c r="U63" s="1020">
        <f t="shared" si="6"/>
        <v>0</v>
      </c>
      <c r="V63" s="1020">
        <f t="shared" si="7"/>
        <v>0</v>
      </c>
      <c r="W63" s="1020">
        <f t="shared" si="15"/>
        <v>0</v>
      </c>
      <c r="X63" s="1020">
        <f t="shared" si="8"/>
        <v>0</v>
      </c>
      <c r="Y63" s="1020">
        <f t="shared" si="9"/>
        <v>0</v>
      </c>
      <c r="Z63" s="842">
        <f t="shared" si="25"/>
        <v>0</v>
      </c>
      <c r="AA63" s="842">
        <f t="shared" si="26"/>
        <v>0</v>
      </c>
      <c r="AB63" s="842">
        <f t="shared" si="26"/>
        <v>0</v>
      </c>
      <c r="AC63" s="842">
        <f t="shared" si="19"/>
        <v>0</v>
      </c>
      <c r="AD63" s="1020">
        <f t="shared" si="20"/>
        <v>0</v>
      </c>
      <c r="AE63" s="1537">
        <f t="shared" si="21"/>
        <v>0</v>
      </c>
    </row>
    <row r="64" spans="1:31" s="1021" customFormat="1" ht="30.75" hidden="1" customHeight="1">
      <c r="A64" s="837"/>
      <c r="B64" s="838"/>
      <c r="C64" s="841"/>
      <c r="D64" s="841"/>
      <c r="E64" s="840"/>
      <c r="F64" s="841"/>
      <c r="G64" s="841"/>
      <c r="H64" s="841">
        <f t="shared" si="0"/>
        <v>240</v>
      </c>
      <c r="I64" s="840">
        <f t="shared" si="10"/>
        <v>3.96</v>
      </c>
      <c r="J64" s="840"/>
      <c r="K64" s="840">
        <f t="shared" si="11"/>
        <v>0.84</v>
      </c>
      <c r="L64" s="840">
        <f t="shared" si="1"/>
        <v>1.04</v>
      </c>
      <c r="M64" s="1020">
        <f t="shared" si="2"/>
        <v>0</v>
      </c>
      <c r="N64" s="1020">
        <f t="shared" si="23"/>
        <v>0</v>
      </c>
      <c r="O64" s="1020">
        <f t="shared" si="3"/>
        <v>0</v>
      </c>
      <c r="P64" s="1020">
        <f t="shared" si="4"/>
        <v>0</v>
      </c>
      <c r="Q64" s="1020">
        <f t="shared" si="24"/>
        <v>0</v>
      </c>
      <c r="R64" s="1020">
        <v>0.2</v>
      </c>
      <c r="S64" s="1020">
        <f t="shared" si="5"/>
        <v>0</v>
      </c>
      <c r="T64" s="1020">
        <f t="shared" si="14"/>
        <v>0</v>
      </c>
      <c r="U64" s="1020">
        <f t="shared" si="6"/>
        <v>0</v>
      </c>
      <c r="V64" s="1020">
        <f t="shared" si="7"/>
        <v>0</v>
      </c>
      <c r="W64" s="1020">
        <f t="shared" si="15"/>
        <v>0</v>
      </c>
      <c r="X64" s="1020">
        <f t="shared" si="8"/>
        <v>0</v>
      </c>
      <c r="Y64" s="1020">
        <f t="shared" si="9"/>
        <v>0</v>
      </c>
      <c r="Z64" s="842">
        <f t="shared" si="25"/>
        <v>0</v>
      </c>
      <c r="AA64" s="842">
        <f t="shared" si="26"/>
        <v>0</v>
      </c>
      <c r="AB64" s="842">
        <f t="shared" si="26"/>
        <v>0</v>
      </c>
      <c r="AC64" s="842">
        <f t="shared" si="19"/>
        <v>0</v>
      </c>
      <c r="AD64" s="1020">
        <f t="shared" si="20"/>
        <v>0</v>
      </c>
      <c r="AE64" s="1537">
        <f t="shared" si="21"/>
        <v>0</v>
      </c>
    </row>
    <row r="65" spans="1:31" s="1021" customFormat="1" ht="30.75" hidden="1" customHeight="1">
      <c r="A65" s="837"/>
      <c r="B65" s="838"/>
      <c r="C65" s="841"/>
      <c r="D65" s="841"/>
      <c r="E65" s="840"/>
      <c r="F65" s="841"/>
      <c r="G65" s="841"/>
      <c r="H65" s="841">
        <f t="shared" si="0"/>
        <v>240</v>
      </c>
      <c r="I65" s="840">
        <f t="shared" si="10"/>
        <v>3.96</v>
      </c>
      <c r="J65" s="840"/>
      <c r="K65" s="840">
        <f t="shared" si="11"/>
        <v>0.84</v>
      </c>
      <c r="L65" s="840">
        <f t="shared" si="1"/>
        <v>1.04</v>
      </c>
      <c r="M65" s="1020">
        <f t="shared" si="2"/>
        <v>0</v>
      </c>
      <c r="N65" s="1020">
        <f t="shared" si="23"/>
        <v>0</v>
      </c>
      <c r="O65" s="1020">
        <f t="shared" si="3"/>
        <v>0</v>
      </c>
      <c r="P65" s="1020">
        <f t="shared" si="4"/>
        <v>0</v>
      </c>
      <c r="Q65" s="1020">
        <f t="shared" si="24"/>
        <v>0</v>
      </c>
      <c r="R65" s="1020">
        <v>0.2</v>
      </c>
      <c r="S65" s="1020">
        <f t="shared" si="5"/>
        <v>0</v>
      </c>
      <c r="T65" s="1020">
        <f t="shared" si="14"/>
        <v>0</v>
      </c>
      <c r="U65" s="1020">
        <f t="shared" si="6"/>
        <v>0</v>
      </c>
      <c r="V65" s="1020">
        <f t="shared" si="7"/>
        <v>0</v>
      </c>
      <c r="W65" s="1020">
        <f t="shared" si="15"/>
        <v>0</v>
      </c>
      <c r="X65" s="1020">
        <f t="shared" si="8"/>
        <v>0</v>
      </c>
      <c r="Y65" s="1020">
        <f t="shared" si="9"/>
        <v>0</v>
      </c>
      <c r="Z65" s="842">
        <f t="shared" si="25"/>
        <v>0</v>
      </c>
      <c r="AA65" s="842">
        <f t="shared" si="26"/>
        <v>0</v>
      </c>
      <c r="AB65" s="842">
        <f t="shared" si="26"/>
        <v>0</v>
      </c>
      <c r="AC65" s="842">
        <f t="shared" si="19"/>
        <v>0</v>
      </c>
      <c r="AD65" s="1020">
        <f t="shared" si="20"/>
        <v>0</v>
      </c>
      <c r="AE65" s="1537">
        <f t="shared" si="21"/>
        <v>0</v>
      </c>
    </row>
    <row r="66" spans="1:31" s="1021" customFormat="1" ht="30.75" hidden="1" customHeight="1">
      <c r="A66" s="837"/>
      <c r="B66" s="838"/>
      <c r="C66" s="841"/>
      <c r="D66" s="841"/>
      <c r="E66" s="840"/>
      <c r="F66" s="841"/>
      <c r="G66" s="841"/>
      <c r="H66" s="841">
        <f t="shared" si="0"/>
        <v>240</v>
      </c>
      <c r="I66" s="840">
        <f t="shared" si="10"/>
        <v>3.96</v>
      </c>
      <c r="J66" s="840"/>
      <c r="K66" s="840">
        <f t="shared" si="11"/>
        <v>0.84</v>
      </c>
      <c r="L66" s="840">
        <f t="shared" si="1"/>
        <v>1.04</v>
      </c>
      <c r="M66" s="1020">
        <f t="shared" si="2"/>
        <v>0</v>
      </c>
      <c r="N66" s="1020">
        <f t="shared" si="23"/>
        <v>0</v>
      </c>
      <c r="O66" s="1020">
        <f t="shared" si="3"/>
        <v>0</v>
      </c>
      <c r="P66" s="1020">
        <f t="shared" si="4"/>
        <v>0</v>
      </c>
      <c r="Q66" s="1020">
        <f t="shared" si="24"/>
        <v>0</v>
      </c>
      <c r="R66" s="1020">
        <v>0.2</v>
      </c>
      <c r="S66" s="1020">
        <f t="shared" si="5"/>
        <v>0</v>
      </c>
      <c r="T66" s="1020">
        <f t="shared" si="14"/>
        <v>0</v>
      </c>
      <c r="U66" s="1020">
        <f t="shared" si="6"/>
        <v>0</v>
      </c>
      <c r="V66" s="1020">
        <f t="shared" si="7"/>
        <v>0</v>
      </c>
      <c r="W66" s="1020">
        <f t="shared" si="15"/>
        <v>0</v>
      </c>
      <c r="X66" s="1020">
        <f t="shared" si="8"/>
        <v>0</v>
      </c>
      <c r="Y66" s="1020">
        <f t="shared" si="9"/>
        <v>0</v>
      </c>
      <c r="Z66" s="842">
        <f t="shared" si="25"/>
        <v>0</v>
      </c>
      <c r="AA66" s="842">
        <f t="shared" si="26"/>
        <v>0</v>
      </c>
      <c r="AB66" s="842">
        <f t="shared" si="26"/>
        <v>0</v>
      </c>
      <c r="AC66" s="842">
        <f t="shared" si="19"/>
        <v>0</v>
      </c>
      <c r="AD66" s="1020">
        <f t="shared" si="20"/>
        <v>0</v>
      </c>
      <c r="AE66" s="1537">
        <f t="shared" si="21"/>
        <v>0</v>
      </c>
    </row>
    <row r="67" spans="1:31" s="1021" customFormat="1" ht="30.75" hidden="1" customHeight="1">
      <c r="A67" s="837"/>
      <c r="B67" s="838"/>
      <c r="C67" s="841"/>
      <c r="D67" s="841"/>
      <c r="E67" s="840"/>
      <c r="F67" s="841"/>
      <c r="G67" s="841"/>
      <c r="H67" s="841">
        <f t="shared" si="0"/>
        <v>240</v>
      </c>
      <c r="I67" s="840">
        <f t="shared" si="10"/>
        <v>3.96</v>
      </c>
      <c r="J67" s="840"/>
      <c r="K67" s="840">
        <f t="shared" si="11"/>
        <v>0.84</v>
      </c>
      <c r="L67" s="840">
        <f t="shared" si="1"/>
        <v>1.04</v>
      </c>
      <c r="M67" s="1020">
        <f t="shared" si="2"/>
        <v>0</v>
      </c>
      <c r="N67" s="1020">
        <f t="shared" si="23"/>
        <v>0</v>
      </c>
      <c r="O67" s="1020">
        <f t="shared" si="3"/>
        <v>0</v>
      </c>
      <c r="P67" s="1020">
        <f t="shared" si="4"/>
        <v>0</v>
      </c>
      <c r="Q67" s="1020">
        <f t="shared" si="24"/>
        <v>0</v>
      </c>
      <c r="R67" s="1020">
        <v>0.2</v>
      </c>
      <c r="S67" s="1020">
        <f t="shared" si="5"/>
        <v>0</v>
      </c>
      <c r="T67" s="1020">
        <f t="shared" si="14"/>
        <v>0</v>
      </c>
      <c r="U67" s="1020">
        <f t="shared" si="6"/>
        <v>0</v>
      </c>
      <c r="V67" s="1020">
        <f t="shared" si="7"/>
        <v>0</v>
      </c>
      <c r="W67" s="1020">
        <f t="shared" si="15"/>
        <v>0</v>
      </c>
      <c r="X67" s="1020">
        <f t="shared" si="8"/>
        <v>0</v>
      </c>
      <c r="Y67" s="1020">
        <f t="shared" si="9"/>
        <v>0</v>
      </c>
      <c r="Z67" s="842">
        <f t="shared" si="25"/>
        <v>0</v>
      </c>
      <c r="AA67" s="842">
        <f t="shared" si="26"/>
        <v>0</v>
      </c>
      <c r="AB67" s="842">
        <f t="shared" si="26"/>
        <v>0</v>
      </c>
      <c r="AC67" s="842">
        <f t="shared" si="19"/>
        <v>0</v>
      </c>
      <c r="AD67" s="1020">
        <f t="shared" si="20"/>
        <v>0</v>
      </c>
      <c r="AE67" s="1537">
        <f t="shared" si="21"/>
        <v>0</v>
      </c>
    </row>
    <row r="68" spans="1:31" s="1024" customFormat="1" ht="30.75" hidden="1" customHeight="1">
      <c r="A68" s="837"/>
      <c r="B68" s="838"/>
      <c r="C68" s="841"/>
      <c r="D68" s="841"/>
      <c r="E68" s="840"/>
      <c r="F68" s="841"/>
      <c r="G68" s="841"/>
      <c r="H68" s="841">
        <f t="shared" si="0"/>
        <v>240</v>
      </c>
      <c r="I68" s="840">
        <f t="shared" si="10"/>
        <v>3.96</v>
      </c>
      <c r="J68" s="840"/>
      <c r="K68" s="840">
        <f t="shared" si="11"/>
        <v>0.84</v>
      </c>
      <c r="L68" s="840">
        <f t="shared" si="1"/>
        <v>1.04</v>
      </c>
      <c r="M68" s="1020">
        <f t="shared" si="2"/>
        <v>0</v>
      </c>
      <c r="N68" s="1020">
        <f t="shared" si="23"/>
        <v>0</v>
      </c>
      <c r="O68" s="1020">
        <f t="shared" si="3"/>
        <v>0</v>
      </c>
      <c r="P68" s="1020">
        <f t="shared" si="4"/>
        <v>0</v>
      </c>
      <c r="Q68" s="1020">
        <f t="shared" si="24"/>
        <v>0</v>
      </c>
      <c r="R68" s="1020">
        <v>0.2</v>
      </c>
      <c r="S68" s="1020">
        <f t="shared" si="5"/>
        <v>0</v>
      </c>
      <c r="T68" s="1020">
        <f t="shared" si="14"/>
        <v>0</v>
      </c>
      <c r="U68" s="1020">
        <f t="shared" si="6"/>
        <v>0</v>
      </c>
      <c r="V68" s="1020">
        <f t="shared" si="7"/>
        <v>0</v>
      </c>
      <c r="W68" s="1020">
        <f t="shared" si="15"/>
        <v>0</v>
      </c>
      <c r="X68" s="1020">
        <f t="shared" si="8"/>
        <v>0</v>
      </c>
      <c r="Y68" s="1020">
        <f t="shared" si="9"/>
        <v>0</v>
      </c>
      <c r="Z68" s="842">
        <f t="shared" si="25"/>
        <v>0</v>
      </c>
      <c r="AA68" s="842">
        <f t="shared" si="26"/>
        <v>0</v>
      </c>
      <c r="AB68" s="842">
        <f t="shared" si="26"/>
        <v>0</v>
      </c>
      <c r="AC68" s="842">
        <f t="shared" si="19"/>
        <v>0</v>
      </c>
      <c r="AD68" s="1020">
        <f t="shared" si="20"/>
        <v>0</v>
      </c>
      <c r="AE68" s="1537">
        <f t="shared" si="21"/>
        <v>0</v>
      </c>
    </row>
    <row r="69" spans="1:31" s="1021" customFormat="1" ht="30.75" hidden="1" customHeight="1">
      <c r="A69" s="837"/>
      <c r="B69" s="838"/>
      <c r="C69" s="841"/>
      <c r="D69" s="841"/>
      <c r="E69" s="840"/>
      <c r="F69" s="841"/>
      <c r="G69" s="841"/>
      <c r="H69" s="841">
        <f t="shared" si="0"/>
        <v>240</v>
      </c>
      <c r="I69" s="840">
        <f t="shared" si="10"/>
        <v>3.96</v>
      </c>
      <c r="J69" s="840"/>
      <c r="K69" s="840">
        <f t="shared" si="11"/>
        <v>0.84</v>
      </c>
      <c r="L69" s="840">
        <f t="shared" si="1"/>
        <v>1.04</v>
      </c>
      <c r="M69" s="1020">
        <f t="shared" si="2"/>
        <v>0</v>
      </c>
      <c r="N69" s="1020">
        <f t="shared" si="23"/>
        <v>0</v>
      </c>
      <c r="O69" s="1020">
        <f t="shared" si="3"/>
        <v>0</v>
      </c>
      <c r="P69" s="1020">
        <f t="shared" si="4"/>
        <v>0</v>
      </c>
      <c r="Q69" s="1020">
        <f t="shared" si="24"/>
        <v>0</v>
      </c>
      <c r="R69" s="1020">
        <v>0.2</v>
      </c>
      <c r="S69" s="1020">
        <f t="shared" si="5"/>
        <v>0</v>
      </c>
      <c r="T69" s="1020">
        <f t="shared" si="14"/>
        <v>0</v>
      </c>
      <c r="U69" s="1020">
        <f t="shared" si="6"/>
        <v>0</v>
      </c>
      <c r="V69" s="1020">
        <f t="shared" si="7"/>
        <v>0</v>
      </c>
      <c r="W69" s="1020">
        <f t="shared" si="15"/>
        <v>0</v>
      </c>
      <c r="X69" s="1020">
        <f t="shared" si="8"/>
        <v>0</v>
      </c>
      <c r="Y69" s="1020">
        <f t="shared" si="9"/>
        <v>0</v>
      </c>
      <c r="Z69" s="842">
        <f t="shared" si="25"/>
        <v>0</v>
      </c>
      <c r="AA69" s="842">
        <f t="shared" si="26"/>
        <v>0</v>
      </c>
      <c r="AB69" s="842">
        <f t="shared" si="26"/>
        <v>0</v>
      </c>
      <c r="AC69" s="842">
        <f t="shared" si="19"/>
        <v>0</v>
      </c>
      <c r="AD69" s="1020">
        <f t="shared" si="20"/>
        <v>0</v>
      </c>
      <c r="AE69" s="1537">
        <f t="shared" si="21"/>
        <v>0</v>
      </c>
    </row>
    <row r="70" spans="1:31" s="1021" customFormat="1" ht="30.75" hidden="1" customHeight="1">
      <c r="A70" s="837"/>
      <c r="B70" s="838"/>
      <c r="C70" s="841"/>
      <c r="D70" s="841"/>
      <c r="E70" s="840"/>
      <c r="F70" s="841"/>
      <c r="G70" s="841"/>
      <c r="H70" s="841">
        <f t="shared" si="0"/>
        <v>240</v>
      </c>
      <c r="I70" s="840">
        <f t="shared" si="10"/>
        <v>3.96</v>
      </c>
      <c r="J70" s="840"/>
      <c r="K70" s="840">
        <f t="shared" si="11"/>
        <v>0.84</v>
      </c>
      <c r="L70" s="840">
        <f t="shared" si="1"/>
        <v>1.04</v>
      </c>
      <c r="M70" s="1020">
        <f t="shared" si="2"/>
        <v>0</v>
      </c>
      <c r="N70" s="1020">
        <f t="shared" si="23"/>
        <v>0</v>
      </c>
      <c r="O70" s="1020">
        <f t="shared" si="3"/>
        <v>0</v>
      </c>
      <c r="P70" s="1020">
        <f t="shared" si="4"/>
        <v>0</v>
      </c>
      <c r="Q70" s="1020">
        <f t="shared" si="24"/>
        <v>0</v>
      </c>
      <c r="R70" s="1020">
        <v>0.2</v>
      </c>
      <c r="S70" s="1020">
        <f t="shared" si="5"/>
        <v>0</v>
      </c>
      <c r="T70" s="1020">
        <f t="shared" si="14"/>
        <v>0</v>
      </c>
      <c r="U70" s="1020">
        <f t="shared" si="6"/>
        <v>0</v>
      </c>
      <c r="V70" s="1020">
        <f t="shared" si="7"/>
        <v>0</v>
      </c>
      <c r="W70" s="1020">
        <f t="shared" si="15"/>
        <v>0</v>
      </c>
      <c r="X70" s="1020">
        <f t="shared" si="8"/>
        <v>0</v>
      </c>
      <c r="Y70" s="1020">
        <f t="shared" si="9"/>
        <v>0</v>
      </c>
      <c r="Z70" s="842">
        <f t="shared" si="25"/>
        <v>0</v>
      </c>
      <c r="AA70" s="842">
        <f t="shared" si="26"/>
        <v>0</v>
      </c>
      <c r="AB70" s="842">
        <f t="shared" si="26"/>
        <v>0</v>
      </c>
      <c r="AC70" s="842">
        <f t="shared" si="19"/>
        <v>0</v>
      </c>
      <c r="AD70" s="1020">
        <f t="shared" si="20"/>
        <v>0</v>
      </c>
      <c r="AE70" s="1537">
        <f t="shared" si="21"/>
        <v>0</v>
      </c>
    </row>
    <row r="71" spans="1:31" s="1022" customFormat="1" ht="30.75" hidden="1" customHeight="1">
      <c r="A71" s="837"/>
      <c r="B71" s="838"/>
      <c r="C71" s="841"/>
      <c r="D71" s="841"/>
      <c r="E71" s="840"/>
      <c r="F71" s="841"/>
      <c r="G71" s="841"/>
      <c r="H71" s="841">
        <f t="shared" si="0"/>
        <v>240</v>
      </c>
      <c r="I71" s="840">
        <f t="shared" si="10"/>
        <v>3.96</v>
      </c>
      <c r="J71" s="840"/>
      <c r="K71" s="840">
        <f t="shared" si="11"/>
        <v>0.84</v>
      </c>
      <c r="L71" s="840">
        <f t="shared" si="1"/>
        <v>1.04</v>
      </c>
      <c r="M71" s="1020">
        <f t="shared" si="2"/>
        <v>0</v>
      </c>
      <c r="N71" s="1020">
        <f t="shared" si="23"/>
        <v>0</v>
      </c>
      <c r="O71" s="1020">
        <f t="shared" si="3"/>
        <v>0</v>
      </c>
      <c r="P71" s="1020">
        <f t="shared" si="4"/>
        <v>0</v>
      </c>
      <c r="Q71" s="1020">
        <f t="shared" si="24"/>
        <v>0</v>
      </c>
      <c r="R71" s="1020">
        <v>0.2</v>
      </c>
      <c r="S71" s="1020">
        <f t="shared" si="5"/>
        <v>0</v>
      </c>
      <c r="T71" s="1020">
        <f t="shared" si="14"/>
        <v>0</v>
      </c>
      <c r="U71" s="1020">
        <f t="shared" si="6"/>
        <v>0</v>
      </c>
      <c r="V71" s="1020">
        <f t="shared" si="7"/>
        <v>0</v>
      </c>
      <c r="W71" s="1020">
        <f t="shared" si="15"/>
        <v>0</v>
      </c>
      <c r="X71" s="1020">
        <f t="shared" si="8"/>
        <v>0</v>
      </c>
      <c r="Y71" s="1020">
        <f t="shared" si="9"/>
        <v>0</v>
      </c>
      <c r="Z71" s="842">
        <f t="shared" si="25"/>
        <v>0</v>
      </c>
      <c r="AA71" s="842">
        <f t="shared" si="26"/>
        <v>0</v>
      </c>
      <c r="AB71" s="842">
        <f t="shared" si="26"/>
        <v>0</v>
      </c>
      <c r="AC71" s="842">
        <f t="shared" si="19"/>
        <v>0</v>
      </c>
      <c r="AD71" s="1020">
        <f t="shared" si="20"/>
        <v>0</v>
      </c>
      <c r="AE71" s="1537">
        <f t="shared" si="21"/>
        <v>0</v>
      </c>
    </row>
    <row r="72" spans="1:31" s="1021" customFormat="1" ht="30.75" hidden="1" customHeight="1">
      <c r="A72" s="837"/>
      <c r="B72" s="838"/>
      <c r="C72" s="841"/>
      <c r="D72" s="841"/>
      <c r="E72" s="840"/>
      <c r="F72" s="841"/>
      <c r="G72" s="841"/>
      <c r="H72" s="841">
        <f t="shared" si="0"/>
        <v>240</v>
      </c>
      <c r="I72" s="840">
        <f t="shared" si="10"/>
        <v>3.96</v>
      </c>
      <c r="J72" s="840"/>
      <c r="K72" s="840">
        <f t="shared" si="11"/>
        <v>0.84</v>
      </c>
      <c r="L72" s="840">
        <f t="shared" si="1"/>
        <v>1.04</v>
      </c>
      <c r="M72" s="1020">
        <f t="shared" si="2"/>
        <v>0</v>
      </c>
      <c r="N72" s="1020">
        <f t="shared" si="23"/>
        <v>0</v>
      </c>
      <c r="O72" s="1020">
        <f t="shared" si="3"/>
        <v>0</v>
      </c>
      <c r="P72" s="1020">
        <f t="shared" si="4"/>
        <v>0</v>
      </c>
      <c r="Q72" s="1020">
        <f t="shared" si="24"/>
        <v>0</v>
      </c>
      <c r="R72" s="1020">
        <v>0.2</v>
      </c>
      <c r="S72" s="1020">
        <f t="shared" si="5"/>
        <v>0</v>
      </c>
      <c r="T72" s="1020">
        <f t="shared" si="14"/>
        <v>0</v>
      </c>
      <c r="U72" s="1020">
        <f t="shared" si="6"/>
        <v>0</v>
      </c>
      <c r="V72" s="1020">
        <f t="shared" si="7"/>
        <v>0</v>
      </c>
      <c r="W72" s="1020">
        <f t="shared" si="15"/>
        <v>0</v>
      </c>
      <c r="X72" s="1020">
        <f t="shared" si="8"/>
        <v>0</v>
      </c>
      <c r="Y72" s="1020">
        <f t="shared" si="9"/>
        <v>0</v>
      </c>
      <c r="Z72" s="842">
        <f t="shared" si="25"/>
        <v>0</v>
      </c>
      <c r="AA72" s="842">
        <f t="shared" si="26"/>
        <v>0</v>
      </c>
      <c r="AB72" s="842">
        <f t="shared" si="26"/>
        <v>0</v>
      </c>
      <c r="AC72" s="842">
        <f t="shared" si="19"/>
        <v>0</v>
      </c>
      <c r="AD72" s="1020">
        <f t="shared" si="20"/>
        <v>0</v>
      </c>
      <c r="AE72" s="1537">
        <f t="shared" si="21"/>
        <v>0</v>
      </c>
    </row>
    <row r="73" spans="1:31" s="1021" customFormat="1" ht="30.75" hidden="1" customHeight="1">
      <c r="A73" s="837"/>
      <c r="B73" s="838"/>
      <c r="C73" s="841"/>
      <c r="D73" s="841"/>
      <c r="E73" s="840"/>
      <c r="F73" s="841"/>
      <c r="G73" s="841"/>
      <c r="H73" s="841">
        <f t="shared" ref="H73:H136" si="27">IF(F73=400,F73+80,IF(F73=500,F73+100,IF(F73=600,F73+120,IF(F73=800,F73+144,IF(F73=1000,F73+160,IF(F73=1200,F73+192,F73+240))))))</f>
        <v>240</v>
      </c>
      <c r="I73" s="840">
        <f t="shared" si="10"/>
        <v>3.96</v>
      </c>
      <c r="J73" s="840"/>
      <c r="K73" s="840">
        <f t="shared" si="11"/>
        <v>0.84</v>
      </c>
      <c r="L73" s="840">
        <f t="shared" ref="L73:L136" si="28">K73+R73</f>
        <v>1.04</v>
      </c>
      <c r="M73" s="1020">
        <f t="shared" ref="M73:M136" si="29">ROUND(E73*I73*L73,2)</f>
        <v>0</v>
      </c>
      <c r="N73" s="1020">
        <f t="shared" si="23"/>
        <v>0</v>
      </c>
      <c r="O73" s="1020">
        <f t="shared" ref="O73:O136" si="30">N73</f>
        <v>0</v>
      </c>
      <c r="P73" s="1020">
        <f t="shared" ref="P73:P136" si="31">N73-O73</f>
        <v>0</v>
      </c>
      <c r="Q73" s="1020">
        <f t="shared" si="24"/>
        <v>0</v>
      </c>
      <c r="R73" s="1020">
        <v>0.2</v>
      </c>
      <c r="S73" s="1020">
        <f t="shared" ref="S73:S136" si="32">ROUND(E73*I73*R73,2)</f>
        <v>0</v>
      </c>
      <c r="T73" s="1020">
        <f t="shared" si="14"/>
        <v>0</v>
      </c>
      <c r="U73" s="1020">
        <f t="shared" ref="U73:U136" si="33">ROUND(3.1416*((H73/1000/2)^2)*E73,2)</f>
        <v>0</v>
      </c>
      <c r="V73" s="1020">
        <f t="shared" ref="V73:V136" si="34">(N73+Q73)-S73-U73</f>
        <v>0</v>
      </c>
      <c r="W73" s="1020">
        <f t="shared" si="15"/>
        <v>0</v>
      </c>
      <c r="X73" s="1020">
        <f t="shared" ref="X73:X136" si="35">O73</f>
        <v>0</v>
      </c>
      <c r="Y73" s="1020">
        <f t="shared" ref="Y73:Y136" si="36">Q73+P73</f>
        <v>0</v>
      </c>
      <c r="Z73" s="842">
        <f t="shared" si="25"/>
        <v>0</v>
      </c>
      <c r="AA73" s="842">
        <f t="shared" ref="AA73:AB136" si="37">ROUND(W73*22,2)</f>
        <v>0</v>
      </c>
      <c r="AB73" s="842">
        <f t="shared" si="37"/>
        <v>0</v>
      </c>
      <c r="AC73" s="842">
        <f t="shared" si="19"/>
        <v>0</v>
      </c>
      <c r="AD73" s="1020">
        <f t="shared" si="20"/>
        <v>0</v>
      </c>
      <c r="AE73" s="1537">
        <f t="shared" si="21"/>
        <v>0</v>
      </c>
    </row>
    <row r="74" spans="1:31" s="1021" customFormat="1" ht="30.75" hidden="1" customHeight="1">
      <c r="A74" s="837"/>
      <c r="B74" s="838"/>
      <c r="C74" s="841"/>
      <c r="D74" s="841"/>
      <c r="E74" s="840"/>
      <c r="F74" s="841"/>
      <c r="G74" s="841"/>
      <c r="H74" s="841">
        <f t="shared" si="27"/>
        <v>240</v>
      </c>
      <c r="I74" s="840">
        <f t="shared" ref="I74:I79" si="38">IF(G74="S",H74/1000+0.75,IF(G74="D",(H74/1000+0.75)*2,IF(G74="T",(H74/1000+0.75)*3,(H74/1000+0.75)*4)))</f>
        <v>3.96</v>
      </c>
      <c r="J74" s="840"/>
      <c r="K74" s="840">
        <f t="shared" ref="K74:K137" si="39">IF(J74&lt;H74/1000+0.6,H74/1000+0.6,J74)</f>
        <v>0.84</v>
      </c>
      <c r="L74" s="840">
        <f t="shared" si="28"/>
        <v>1.04</v>
      </c>
      <c r="M74" s="1020">
        <f t="shared" si="29"/>
        <v>0</v>
      </c>
      <c r="N74" s="1020">
        <f t="shared" si="23"/>
        <v>0</v>
      </c>
      <c r="O74" s="1020">
        <f t="shared" si="30"/>
        <v>0</v>
      </c>
      <c r="P74" s="1020">
        <f t="shared" si="31"/>
        <v>0</v>
      </c>
      <c r="Q74" s="1020">
        <f t="shared" si="24"/>
        <v>0</v>
      </c>
      <c r="R74" s="1020">
        <v>0.2</v>
      </c>
      <c r="S74" s="1020">
        <f t="shared" si="32"/>
        <v>0</v>
      </c>
      <c r="T74" s="1020">
        <f t="shared" ref="T74:T137" si="40">E74*I74</f>
        <v>0</v>
      </c>
      <c r="U74" s="1020">
        <f t="shared" si="33"/>
        <v>0</v>
      </c>
      <c r="V74" s="1020">
        <f t="shared" si="34"/>
        <v>0</v>
      </c>
      <c r="W74" s="1020">
        <f t="shared" ref="W74:W137" si="41">M74-(U74+S74+O74)</f>
        <v>0</v>
      </c>
      <c r="X74" s="1020">
        <f t="shared" si="35"/>
        <v>0</v>
      </c>
      <c r="Y74" s="1020">
        <f t="shared" si="36"/>
        <v>0</v>
      </c>
      <c r="Z74" s="842">
        <f t="shared" si="25"/>
        <v>0</v>
      </c>
      <c r="AA74" s="842">
        <f t="shared" si="37"/>
        <v>0</v>
      </c>
      <c r="AB74" s="842">
        <f t="shared" si="37"/>
        <v>0</v>
      </c>
      <c r="AC74" s="842">
        <f t="shared" ref="AC74:AC79" si="42">(E74/(20/8))*6.41</f>
        <v>0</v>
      </c>
      <c r="AD74" s="1020">
        <f t="shared" ref="AD74:AD137" si="43">IF(OR(L74&gt;1.8,L74&lt;1.5),,L74*E74*2)</f>
        <v>0</v>
      </c>
      <c r="AE74" s="1537">
        <f t="shared" ref="AE74:AE137" si="44">IF(OR(L74=1.8,L74&gt;1.8),L74*E74*2,)</f>
        <v>0</v>
      </c>
    </row>
    <row r="75" spans="1:31" s="1021" customFormat="1" ht="30.75" hidden="1" customHeight="1">
      <c r="A75" s="837"/>
      <c r="B75" s="838"/>
      <c r="C75" s="841"/>
      <c r="D75" s="841"/>
      <c r="E75" s="840"/>
      <c r="F75" s="841"/>
      <c r="G75" s="841"/>
      <c r="H75" s="841">
        <f t="shared" si="27"/>
        <v>240</v>
      </c>
      <c r="I75" s="840">
        <f t="shared" si="38"/>
        <v>3.96</v>
      </c>
      <c r="J75" s="840"/>
      <c r="K75" s="840">
        <f t="shared" si="39"/>
        <v>0.84</v>
      </c>
      <c r="L75" s="840">
        <f t="shared" si="28"/>
        <v>1.04</v>
      </c>
      <c r="M75" s="1020">
        <f t="shared" si="29"/>
        <v>0</v>
      </c>
      <c r="N75" s="1020">
        <f t="shared" si="23"/>
        <v>0</v>
      </c>
      <c r="O75" s="1020">
        <f t="shared" si="30"/>
        <v>0</v>
      </c>
      <c r="P75" s="1020">
        <f t="shared" si="31"/>
        <v>0</v>
      </c>
      <c r="Q75" s="1020">
        <f t="shared" si="24"/>
        <v>0</v>
      </c>
      <c r="R75" s="1020">
        <v>0.2</v>
      </c>
      <c r="S75" s="1020">
        <f t="shared" si="32"/>
        <v>0</v>
      </c>
      <c r="T75" s="1020">
        <f t="shared" si="40"/>
        <v>0</v>
      </c>
      <c r="U75" s="1020">
        <f t="shared" si="33"/>
        <v>0</v>
      </c>
      <c r="V75" s="1020">
        <f t="shared" si="34"/>
        <v>0</v>
      </c>
      <c r="W75" s="1020">
        <f t="shared" si="41"/>
        <v>0</v>
      </c>
      <c r="X75" s="1020">
        <f t="shared" si="35"/>
        <v>0</v>
      </c>
      <c r="Y75" s="1020">
        <f t="shared" si="36"/>
        <v>0</v>
      </c>
      <c r="Z75" s="842">
        <f t="shared" si="25"/>
        <v>0</v>
      </c>
      <c r="AA75" s="842">
        <f t="shared" si="37"/>
        <v>0</v>
      </c>
      <c r="AB75" s="842">
        <f t="shared" si="37"/>
        <v>0</v>
      </c>
      <c r="AC75" s="842">
        <f t="shared" si="42"/>
        <v>0</v>
      </c>
      <c r="AD75" s="1020">
        <f t="shared" si="43"/>
        <v>0</v>
      </c>
      <c r="AE75" s="1537">
        <f t="shared" si="44"/>
        <v>0</v>
      </c>
    </row>
    <row r="76" spans="1:31" s="1021" customFormat="1" ht="30.75" hidden="1" customHeight="1">
      <c r="A76" s="837"/>
      <c r="B76" s="838"/>
      <c r="C76" s="841"/>
      <c r="D76" s="841"/>
      <c r="E76" s="840"/>
      <c r="F76" s="841"/>
      <c r="G76" s="841"/>
      <c r="H76" s="841">
        <f t="shared" si="27"/>
        <v>240</v>
      </c>
      <c r="I76" s="840">
        <f t="shared" si="38"/>
        <v>3.96</v>
      </c>
      <c r="J76" s="840"/>
      <c r="K76" s="840">
        <f t="shared" si="39"/>
        <v>0.84</v>
      </c>
      <c r="L76" s="840">
        <f t="shared" si="28"/>
        <v>1.04</v>
      </c>
      <c r="M76" s="1020">
        <f t="shared" si="29"/>
        <v>0</v>
      </c>
      <c r="N76" s="1020">
        <f t="shared" si="23"/>
        <v>0</v>
      </c>
      <c r="O76" s="1020">
        <f t="shared" si="30"/>
        <v>0</v>
      </c>
      <c r="P76" s="1020">
        <f t="shared" si="31"/>
        <v>0</v>
      </c>
      <c r="Q76" s="1020">
        <f t="shared" si="24"/>
        <v>0</v>
      </c>
      <c r="R76" s="1020">
        <v>0.2</v>
      </c>
      <c r="S76" s="1020">
        <f t="shared" si="32"/>
        <v>0</v>
      </c>
      <c r="T76" s="1020">
        <f t="shared" si="40"/>
        <v>0</v>
      </c>
      <c r="U76" s="1020">
        <f t="shared" si="33"/>
        <v>0</v>
      </c>
      <c r="V76" s="1020">
        <f t="shared" si="34"/>
        <v>0</v>
      </c>
      <c r="W76" s="1020">
        <f t="shared" si="41"/>
        <v>0</v>
      </c>
      <c r="X76" s="1020">
        <f t="shared" si="35"/>
        <v>0</v>
      </c>
      <c r="Y76" s="1020">
        <f t="shared" si="36"/>
        <v>0</v>
      </c>
      <c r="Z76" s="842">
        <f t="shared" si="25"/>
        <v>0</v>
      </c>
      <c r="AA76" s="842">
        <f t="shared" si="37"/>
        <v>0</v>
      </c>
      <c r="AB76" s="842">
        <f t="shared" si="37"/>
        <v>0</v>
      </c>
      <c r="AC76" s="842">
        <f t="shared" si="42"/>
        <v>0</v>
      </c>
      <c r="AD76" s="1020">
        <f t="shared" si="43"/>
        <v>0</v>
      </c>
      <c r="AE76" s="1537">
        <f t="shared" si="44"/>
        <v>0</v>
      </c>
    </row>
    <row r="77" spans="1:31" s="1021" customFormat="1" ht="30.75" hidden="1" customHeight="1">
      <c r="A77" s="837"/>
      <c r="B77" s="838"/>
      <c r="C77" s="841"/>
      <c r="D77" s="841"/>
      <c r="E77" s="840"/>
      <c r="F77" s="841"/>
      <c r="G77" s="841"/>
      <c r="H77" s="841">
        <f t="shared" si="27"/>
        <v>240</v>
      </c>
      <c r="I77" s="840">
        <f t="shared" si="38"/>
        <v>3.96</v>
      </c>
      <c r="J77" s="840"/>
      <c r="K77" s="840">
        <f t="shared" si="39"/>
        <v>0.84</v>
      </c>
      <c r="L77" s="840">
        <f t="shared" si="28"/>
        <v>1.04</v>
      </c>
      <c r="M77" s="1020">
        <f t="shared" si="29"/>
        <v>0</v>
      </c>
      <c r="N77" s="1020">
        <f t="shared" si="23"/>
        <v>0</v>
      </c>
      <c r="O77" s="1020">
        <f t="shared" si="30"/>
        <v>0</v>
      </c>
      <c r="P77" s="1020">
        <f t="shared" si="31"/>
        <v>0</v>
      </c>
      <c r="Q77" s="1020">
        <f t="shared" si="24"/>
        <v>0</v>
      </c>
      <c r="R77" s="1020">
        <v>0.2</v>
      </c>
      <c r="S77" s="1020">
        <f t="shared" si="32"/>
        <v>0</v>
      </c>
      <c r="T77" s="1020">
        <f t="shared" si="40"/>
        <v>0</v>
      </c>
      <c r="U77" s="1020">
        <f t="shared" si="33"/>
        <v>0</v>
      </c>
      <c r="V77" s="1020">
        <f t="shared" si="34"/>
        <v>0</v>
      </c>
      <c r="W77" s="1020">
        <f t="shared" si="41"/>
        <v>0</v>
      </c>
      <c r="X77" s="1020">
        <f t="shared" si="35"/>
        <v>0</v>
      </c>
      <c r="Y77" s="1020">
        <f t="shared" si="36"/>
        <v>0</v>
      </c>
      <c r="Z77" s="842">
        <f t="shared" si="25"/>
        <v>0</v>
      </c>
      <c r="AA77" s="842">
        <f t="shared" si="37"/>
        <v>0</v>
      </c>
      <c r="AB77" s="842">
        <f t="shared" si="37"/>
        <v>0</v>
      </c>
      <c r="AC77" s="842">
        <f t="shared" si="42"/>
        <v>0</v>
      </c>
      <c r="AD77" s="1020">
        <f t="shared" si="43"/>
        <v>0</v>
      </c>
      <c r="AE77" s="1537">
        <f t="shared" si="44"/>
        <v>0</v>
      </c>
    </row>
    <row r="78" spans="1:31" s="1021" customFormat="1" ht="30.75" hidden="1" customHeight="1">
      <c r="A78" s="837"/>
      <c r="B78" s="838"/>
      <c r="C78" s="841"/>
      <c r="D78" s="841"/>
      <c r="E78" s="840"/>
      <c r="F78" s="841"/>
      <c r="G78" s="841"/>
      <c r="H78" s="841">
        <f t="shared" si="27"/>
        <v>240</v>
      </c>
      <c r="I78" s="840">
        <f t="shared" si="38"/>
        <v>3.96</v>
      </c>
      <c r="J78" s="840"/>
      <c r="K78" s="840">
        <f t="shared" si="39"/>
        <v>0.84</v>
      </c>
      <c r="L78" s="840">
        <f t="shared" si="28"/>
        <v>1.04</v>
      </c>
      <c r="M78" s="1020">
        <f t="shared" si="29"/>
        <v>0</v>
      </c>
      <c r="N78" s="1020">
        <f t="shared" si="23"/>
        <v>0</v>
      </c>
      <c r="O78" s="1020">
        <f t="shared" si="30"/>
        <v>0</v>
      </c>
      <c r="P78" s="1020">
        <f t="shared" si="31"/>
        <v>0</v>
      </c>
      <c r="Q78" s="1020">
        <f t="shared" si="24"/>
        <v>0</v>
      </c>
      <c r="R78" s="1020">
        <v>0.2</v>
      </c>
      <c r="S78" s="1020">
        <f t="shared" si="32"/>
        <v>0</v>
      </c>
      <c r="T78" s="1020">
        <f t="shared" si="40"/>
        <v>0</v>
      </c>
      <c r="U78" s="1020">
        <f t="shared" si="33"/>
        <v>0</v>
      </c>
      <c r="V78" s="1020">
        <f t="shared" si="34"/>
        <v>0</v>
      </c>
      <c r="W78" s="1020">
        <f t="shared" si="41"/>
        <v>0</v>
      </c>
      <c r="X78" s="1020">
        <f t="shared" si="35"/>
        <v>0</v>
      </c>
      <c r="Y78" s="1020">
        <f t="shared" si="36"/>
        <v>0</v>
      </c>
      <c r="Z78" s="842">
        <f t="shared" si="25"/>
        <v>0</v>
      </c>
      <c r="AA78" s="842">
        <f t="shared" si="37"/>
        <v>0</v>
      </c>
      <c r="AB78" s="842">
        <f t="shared" si="37"/>
        <v>0</v>
      </c>
      <c r="AC78" s="842">
        <f t="shared" si="42"/>
        <v>0</v>
      </c>
      <c r="AD78" s="1020">
        <f t="shared" si="43"/>
        <v>0</v>
      </c>
      <c r="AE78" s="1537">
        <f t="shared" si="44"/>
        <v>0</v>
      </c>
    </row>
    <row r="79" spans="1:31" s="1021" customFormat="1" ht="30.75" hidden="1" customHeight="1">
      <c r="A79" s="837"/>
      <c r="B79" s="838"/>
      <c r="C79" s="841"/>
      <c r="D79" s="841"/>
      <c r="E79" s="840"/>
      <c r="F79" s="841"/>
      <c r="G79" s="841"/>
      <c r="H79" s="841">
        <f t="shared" si="27"/>
        <v>240</v>
      </c>
      <c r="I79" s="840">
        <f t="shared" si="38"/>
        <v>3.96</v>
      </c>
      <c r="J79" s="840"/>
      <c r="K79" s="840">
        <f t="shared" si="39"/>
        <v>0.84</v>
      </c>
      <c r="L79" s="840">
        <f t="shared" si="28"/>
        <v>1.04</v>
      </c>
      <c r="M79" s="1020">
        <f t="shared" si="29"/>
        <v>0</v>
      </c>
      <c r="N79" s="1020">
        <f t="shared" si="23"/>
        <v>0</v>
      </c>
      <c r="O79" s="1020">
        <f t="shared" si="30"/>
        <v>0</v>
      </c>
      <c r="P79" s="1020">
        <f t="shared" si="31"/>
        <v>0</v>
      </c>
      <c r="Q79" s="1020">
        <f t="shared" si="24"/>
        <v>0</v>
      </c>
      <c r="R79" s="1020">
        <v>0.2</v>
      </c>
      <c r="S79" s="1020">
        <f t="shared" si="32"/>
        <v>0</v>
      </c>
      <c r="T79" s="1020">
        <f t="shared" si="40"/>
        <v>0</v>
      </c>
      <c r="U79" s="1020">
        <f t="shared" si="33"/>
        <v>0</v>
      </c>
      <c r="V79" s="1020">
        <f t="shared" si="34"/>
        <v>0</v>
      </c>
      <c r="W79" s="1020">
        <f t="shared" si="41"/>
        <v>0</v>
      </c>
      <c r="X79" s="1020">
        <f t="shared" si="35"/>
        <v>0</v>
      </c>
      <c r="Y79" s="1020">
        <f t="shared" si="36"/>
        <v>0</v>
      </c>
      <c r="Z79" s="842">
        <f t="shared" si="25"/>
        <v>0</v>
      </c>
      <c r="AA79" s="842">
        <f t="shared" si="37"/>
        <v>0</v>
      </c>
      <c r="AB79" s="842">
        <f t="shared" si="37"/>
        <v>0</v>
      </c>
      <c r="AC79" s="842">
        <f t="shared" si="42"/>
        <v>0</v>
      </c>
      <c r="AD79" s="1020">
        <f t="shared" si="43"/>
        <v>0</v>
      </c>
      <c r="AE79" s="1537">
        <f t="shared" si="44"/>
        <v>0</v>
      </c>
    </row>
    <row r="80" spans="1:31" s="1021" customFormat="1" ht="30.75" hidden="1" customHeight="1">
      <c r="A80" s="837"/>
      <c r="B80" s="838"/>
      <c r="C80" s="841"/>
      <c r="D80" s="841"/>
      <c r="E80" s="840"/>
      <c r="F80" s="841"/>
      <c r="G80" s="841"/>
      <c r="H80" s="841">
        <f t="shared" si="27"/>
        <v>240</v>
      </c>
      <c r="I80" s="840">
        <f>IF(G80="S",H80/1000+0.75,IF(G80="D",(H80/1000+0.75)*2,IF(G80="T",(H80/1000+0.75)*3,(H80/1000+0.75)*4)))</f>
        <v>3.96</v>
      </c>
      <c r="J80" s="840"/>
      <c r="K80" s="840">
        <f t="shared" si="39"/>
        <v>0.84</v>
      </c>
      <c r="L80" s="840">
        <f t="shared" si="28"/>
        <v>1.04</v>
      </c>
      <c r="M80" s="1020">
        <f t="shared" si="29"/>
        <v>0</v>
      </c>
      <c r="N80" s="1020">
        <f t="shared" si="23"/>
        <v>0</v>
      </c>
      <c r="O80" s="1020">
        <f t="shared" si="30"/>
        <v>0</v>
      </c>
      <c r="P80" s="1020">
        <f t="shared" si="31"/>
        <v>0</v>
      </c>
      <c r="Q80" s="1020">
        <f t="shared" si="24"/>
        <v>0</v>
      </c>
      <c r="R80" s="1020">
        <v>0.2</v>
      </c>
      <c r="S80" s="1020">
        <f t="shared" si="32"/>
        <v>0</v>
      </c>
      <c r="T80" s="1020">
        <f t="shared" si="40"/>
        <v>0</v>
      </c>
      <c r="U80" s="1020">
        <f t="shared" si="33"/>
        <v>0</v>
      </c>
      <c r="V80" s="1020">
        <f t="shared" si="34"/>
        <v>0</v>
      </c>
      <c r="W80" s="1020">
        <f t="shared" si="41"/>
        <v>0</v>
      </c>
      <c r="X80" s="1020">
        <f t="shared" si="35"/>
        <v>0</v>
      </c>
      <c r="Y80" s="1020">
        <f t="shared" si="36"/>
        <v>0</v>
      </c>
      <c r="Z80" s="842">
        <f t="shared" si="25"/>
        <v>0</v>
      </c>
      <c r="AA80" s="842">
        <f t="shared" si="37"/>
        <v>0</v>
      </c>
      <c r="AB80" s="842">
        <f t="shared" si="37"/>
        <v>0</v>
      </c>
      <c r="AC80" s="842">
        <f>(E80/(20/8))*6.41</f>
        <v>0</v>
      </c>
      <c r="AD80" s="1020">
        <f t="shared" si="43"/>
        <v>0</v>
      </c>
      <c r="AE80" s="1537">
        <f t="shared" si="44"/>
        <v>0</v>
      </c>
    </row>
    <row r="81" spans="1:31" s="1021" customFormat="1" ht="30.75" hidden="1" customHeight="1">
      <c r="A81" s="837"/>
      <c r="B81" s="838"/>
      <c r="C81" s="841"/>
      <c r="D81" s="841"/>
      <c r="E81" s="840"/>
      <c r="F81" s="841"/>
      <c r="G81" s="841"/>
      <c r="H81" s="841">
        <f t="shared" si="27"/>
        <v>240</v>
      </c>
      <c r="I81" s="840">
        <f t="shared" ref="I81" si="45">IF(G81="S",H81/1000+0.75,IF(G81="D",(H81/1000+0.75)*2,IF(G81="T",(H81/1000+0.75)*3,(H81/1000+0.75)*4)))</f>
        <v>3.96</v>
      </c>
      <c r="J81" s="840"/>
      <c r="K81" s="840">
        <f t="shared" si="39"/>
        <v>0.84</v>
      </c>
      <c r="L81" s="840">
        <f t="shared" si="28"/>
        <v>1.04</v>
      </c>
      <c r="M81" s="1020">
        <f t="shared" si="29"/>
        <v>0</v>
      </c>
      <c r="N81" s="1020">
        <f t="shared" si="23"/>
        <v>0</v>
      </c>
      <c r="O81" s="1020">
        <f t="shared" si="30"/>
        <v>0</v>
      </c>
      <c r="P81" s="1020">
        <f t="shared" si="31"/>
        <v>0</v>
      </c>
      <c r="Q81" s="1020">
        <f t="shared" si="24"/>
        <v>0</v>
      </c>
      <c r="R81" s="1020">
        <v>0.2</v>
      </c>
      <c r="S81" s="1020">
        <f t="shared" si="32"/>
        <v>0</v>
      </c>
      <c r="T81" s="1020">
        <f t="shared" si="40"/>
        <v>0</v>
      </c>
      <c r="U81" s="1020">
        <f t="shared" si="33"/>
        <v>0</v>
      </c>
      <c r="V81" s="1020">
        <f t="shared" si="34"/>
        <v>0</v>
      </c>
      <c r="W81" s="1020">
        <f t="shared" si="41"/>
        <v>0</v>
      </c>
      <c r="X81" s="1020">
        <f t="shared" si="35"/>
        <v>0</v>
      </c>
      <c r="Y81" s="1020">
        <f t="shared" si="36"/>
        <v>0</v>
      </c>
      <c r="Z81" s="842">
        <f t="shared" si="25"/>
        <v>0</v>
      </c>
      <c r="AA81" s="842">
        <f t="shared" si="37"/>
        <v>0</v>
      </c>
      <c r="AB81" s="842">
        <f t="shared" si="37"/>
        <v>0</v>
      </c>
      <c r="AC81" s="842">
        <f t="shared" ref="AC81:AC144" si="46">(E81/(20/8))*6.41</f>
        <v>0</v>
      </c>
      <c r="AD81" s="1020">
        <f t="shared" si="43"/>
        <v>0</v>
      </c>
      <c r="AE81" s="1537">
        <f t="shared" si="44"/>
        <v>0</v>
      </c>
    </row>
    <row r="82" spans="1:31" s="1021" customFormat="1" ht="30.75" hidden="1" customHeight="1">
      <c r="A82" s="837"/>
      <c r="B82" s="838"/>
      <c r="C82" s="841"/>
      <c r="D82" s="841"/>
      <c r="E82" s="840"/>
      <c r="F82" s="841"/>
      <c r="G82" s="841"/>
      <c r="H82" s="841">
        <f t="shared" si="27"/>
        <v>240</v>
      </c>
      <c r="I82" s="840">
        <f>IF(G82="S",H82/1000+0.75,IF(G82="D",(H82/1000+0.75)*2,IF(G82="T",(H82/1000+0.75)*3,(H82/1000+0.75)*4)))</f>
        <v>3.96</v>
      </c>
      <c r="J82" s="840"/>
      <c r="K82" s="840">
        <f t="shared" si="39"/>
        <v>0.84</v>
      </c>
      <c r="L82" s="840">
        <f t="shared" si="28"/>
        <v>1.04</v>
      </c>
      <c r="M82" s="1020">
        <f t="shared" si="29"/>
        <v>0</v>
      </c>
      <c r="N82" s="1020">
        <f t="shared" si="23"/>
        <v>0</v>
      </c>
      <c r="O82" s="1020">
        <f t="shared" si="30"/>
        <v>0</v>
      </c>
      <c r="P82" s="1020">
        <f t="shared" si="31"/>
        <v>0</v>
      </c>
      <c r="Q82" s="1020">
        <f t="shared" si="24"/>
        <v>0</v>
      </c>
      <c r="R82" s="1020">
        <v>0.2</v>
      </c>
      <c r="S82" s="1020">
        <f t="shared" si="32"/>
        <v>0</v>
      </c>
      <c r="T82" s="1020">
        <f t="shared" si="40"/>
        <v>0</v>
      </c>
      <c r="U82" s="1020">
        <f t="shared" si="33"/>
        <v>0</v>
      </c>
      <c r="V82" s="1020">
        <f t="shared" si="34"/>
        <v>0</v>
      </c>
      <c r="W82" s="1020">
        <f t="shared" si="41"/>
        <v>0</v>
      </c>
      <c r="X82" s="1020">
        <f t="shared" si="35"/>
        <v>0</v>
      </c>
      <c r="Y82" s="1020">
        <f t="shared" si="36"/>
        <v>0</v>
      </c>
      <c r="Z82" s="842">
        <f t="shared" si="25"/>
        <v>0</v>
      </c>
      <c r="AA82" s="842">
        <f t="shared" si="37"/>
        <v>0</v>
      </c>
      <c r="AB82" s="842">
        <f t="shared" si="37"/>
        <v>0</v>
      </c>
      <c r="AC82" s="842">
        <f t="shared" si="46"/>
        <v>0</v>
      </c>
      <c r="AD82" s="1020">
        <f t="shared" si="43"/>
        <v>0</v>
      </c>
      <c r="AE82" s="1537">
        <f t="shared" si="44"/>
        <v>0</v>
      </c>
    </row>
    <row r="83" spans="1:31" s="1022" customFormat="1" ht="30.75" hidden="1" customHeight="1">
      <c r="A83" s="837"/>
      <c r="B83" s="838"/>
      <c r="C83" s="841"/>
      <c r="D83" s="841"/>
      <c r="E83" s="840"/>
      <c r="F83" s="841"/>
      <c r="G83" s="841"/>
      <c r="H83" s="841">
        <f t="shared" si="27"/>
        <v>240</v>
      </c>
      <c r="I83" s="840">
        <f t="shared" ref="I83:I84" si="47">IF(G83="S",H83/1000+0.75,IF(G83="D",(H83/1000+0.75)*2,IF(G83="T",(H83/1000+0.75)*3,(H83/1000+0.75)*4)))</f>
        <v>3.96</v>
      </c>
      <c r="J83" s="840"/>
      <c r="K83" s="840">
        <f t="shared" si="39"/>
        <v>0.84</v>
      </c>
      <c r="L83" s="840">
        <f t="shared" si="28"/>
        <v>1.04</v>
      </c>
      <c r="M83" s="1020">
        <f t="shared" si="29"/>
        <v>0</v>
      </c>
      <c r="N83" s="1020">
        <f t="shared" si="23"/>
        <v>0</v>
      </c>
      <c r="O83" s="1020">
        <f t="shared" si="30"/>
        <v>0</v>
      </c>
      <c r="P83" s="1020">
        <f t="shared" si="31"/>
        <v>0</v>
      </c>
      <c r="Q83" s="1020">
        <f t="shared" si="24"/>
        <v>0</v>
      </c>
      <c r="R83" s="1020">
        <v>0.2</v>
      </c>
      <c r="S83" s="1020">
        <f t="shared" si="32"/>
        <v>0</v>
      </c>
      <c r="T83" s="1020">
        <f t="shared" si="40"/>
        <v>0</v>
      </c>
      <c r="U83" s="1020">
        <f t="shared" si="33"/>
        <v>0</v>
      </c>
      <c r="V83" s="1020">
        <f t="shared" si="34"/>
        <v>0</v>
      </c>
      <c r="W83" s="1020">
        <f t="shared" si="41"/>
        <v>0</v>
      </c>
      <c r="X83" s="1020">
        <f t="shared" si="35"/>
        <v>0</v>
      </c>
      <c r="Y83" s="1020">
        <f t="shared" si="36"/>
        <v>0</v>
      </c>
      <c r="Z83" s="842">
        <f t="shared" si="25"/>
        <v>0</v>
      </c>
      <c r="AA83" s="842">
        <f t="shared" si="37"/>
        <v>0</v>
      </c>
      <c r="AB83" s="842">
        <f t="shared" si="37"/>
        <v>0</v>
      </c>
      <c r="AC83" s="842">
        <f t="shared" si="46"/>
        <v>0</v>
      </c>
      <c r="AD83" s="1020">
        <f t="shared" si="43"/>
        <v>0</v>
      </c>
      <c r="AE83" s="1537">
        <f t="shared" si="44"/>
        <v>0</v>
      </c>
    </row>
    <row r="84" spans="1:31" s="1021" customFormat="1" ht="30.75" hidden="1" customHeight="1">
      <c r="A84" s="837"/>
      <c r="B84" s="838"/>
      <c r="C84" s="841"/>
      <c r="D84" s="841"/>
      <c r="E84" s="840"/>
      <c r="F84" s="841"/>
      <c r="G84" s="841"/>
      <c r="H84" s="841">
        <f t="shared" si="27"/>
        <v>240</v>
      </c>
      <c r="I84" s="840">
        <f t="shared" si="47"/>
        <v>3.96</v>
      </c>
      <c r="J84" s="840"/>
      <c r="K84" s="840">
        <f t="shared" si="39"/>
        <v>0.84</v>
      </c>
      <c r="L84" s="840">
        <f t="shared" si="28"/>
        <v>1.04</v>
      </c>
      <c r="M84" s="1020">
        <f t="shared" si="29"/>
        <v>0</v>
      </c>
      <c r="N84" s="1020">
        <f t="shared" ref="N84:N147" si="48">ROUND(E84*I84*L84,2)*0.4</f>
        <v>0</v>
      </c>
      <c r="O84" s="1020">
        <f t="shared" si="30"/>
        <v>0</v>
      </c>
      <c r="P84" s="1020">
        <f t="shared" si="31"/>
        <v>0</v>
      </c>
      <c r="Q84" s="1020">
        <f t="shared" ref="Q84:Q147" si="49">ROUND(E84*I84*L84,2)*0.6</f>
        <v>0</v>
      </c>
      <c r="R84" s="1020">
        <v>0.2</v>
      </c>
      <c r="S84" s="1020">
        <f t="shared" si="32"/>
        <v>0</v>
      </c>
      <c r="T84" s="1020">
        <f t="shared" si="40"/>
        <v>0</v>
      </c>
      <c r="U84" s="1020">
        <f t="shared" si="33"/>
        <v>0</v>
      </c>
      <c r="V84" s="1020">
        <f t="shared" si="34"/>
        <v>0</v>
      </c>
      <c r="W84" s="1020">
        <f t="shared" si="41"/>
        <v>0</v>
      </c>
      <c r="X84" s="1020">
        <f t="shared" si="35"/>
        <v>0</v>
      </c>
      <c r="Y84" s="1020">
        <f t="shared" si="36"/>
        <v>0</v>
      </c>
      <c r="Z84" s="842">
        <f t="shared" si="25"/>
        <v>0</v>
      </c>
      <c r="AA84" s="842">
        <f t="shared" si="37"/>
        <v>0</v>
      </c>
      <c r="AB84" s="842">
        <f t="shared" si="37"/>
        <v>0</v>
      </c>
      <c r="AC84" s="842">
        <f t="shared" si="46"/>
        <v>0</v>
      </c>
      <c r="AD84" s="1020">
        <f t="shared" si="43"/>
        <v>0</v>
      </c>
      <c r="AE84" s="1537">
        <f t="shared" si="44"/>
        <v>0</v>
      </c>
    </row>
    <row r="85" spans="1:31" s="1021" customFormat="1" ht="30.75" hidden="1" customHeight="1">
      <c r="A85" s="837"/>
      <c r="B85" s="838"/>
      <c r="C85" s="841"/>
      <c r="D85" s="841"/>
      <c r="E85" s="840"/>
      <c r="F85" s="841"/>
      <c r="G85" s="841"/>
      <c r="H85" s="841">
        <f t="shared" si="27"/>
        <v>240</v>
      </c>
      <c r="I85" s="840">
        <f>IF(G85="S",H85/1000+0.75,IF(G85="D",(H85/1000+0.75)*2,IF(G85="T",(H85/1000+0.75)*3,(H85/1000+0.75)*4)))</f>
        <v>3.96</v>
      </c>
      <c r="J85" s="840"/>
      <c r="K85" s="840">
        <f t="shared" si="39"/>
        <v>0.84</v>
      </c>
      <c r="L85" s="840">
        <f t="shared" si="28"/>
        <v>1.04</v>
      </c>
      <c r="M85" s="1020">
        <f t="shared" si="29"/>
        <v>0</v>
      </c>
      <c r="N85" s="1020">
        <f t="shared" si="48"/>
        <v>0</v>
      </c>
      <c r="O85" s="1020">
        <f t="shared" si="30"/>
        <v>0</v>
      </c>
      <c r="P85" s="1020">
        <f t="shared" si="31"/>
        <v>0</v>
      </c>
      <c r="Q85" s="1020">
        <f t="shared" si="49"/>
        <v>0</v>
      </c>
      <c r="R85" s="1020">
        <v>0.2</v>
      </c>
      <c r="S85" s="1020">
        <f t="shared" si="32"/>
        <v>0</v>
      </c>
      <c r="T85" s="1020">
        <f t="shared" si="40"/>
        <v>0</v>
      </c>
      <c r="U85" s="1020">
        <f t="shared" si="33"/>
        <v>0</v>
      </c>
      <c r="V85" s="1020">
        <f t="shared" si="34"/>
        <v>0</v>
      </c>
      <c r="W85" s="1020">
        <f t="shared" si="41"/>
        <v>0</v>
      </c>
      <c r="X85" s="1020">
        <f t="shared" si="35"/>
        <v>0</v>
      </c>
      <c r="Y85" s="1020">
        <f t="shared" si="36"/>
        <v>0</v>
      </c>
      <c r="Z85" s="842">
        <f t="shared" si="25"/>
        <v>0</v>
      </c>
      <c r="AA85" s="842">
        <f t="shared" si="37"/>
        <v>0</v>
      </c>
      <c r="AB85" s="842">
        <f t="shared" si="37"/>
        <v>0</v>
      </c>
      <c r="AC85" s="842">
        <f t="shared" si="46"/>
        <v>0</v>
      </c>
      <c r="AD85" s="1020">
        <f t="shared" si="43"/>
        <v>0</v>
      </c>
      <c r="AE85" s="1537">
        <f t="shared" si="44"/>
        <v>0</v>
      </c>
    </row>
    <row r="86" spans="1:31" s="1021" customFormat="1" ht="30.75" hidden="1" customHeight="1">
      <c r="A86" s="837"/>
      <c r="B86" s="838"/>
      <c r="C86" s="843"/>
      <c r="D86" s="843"/>
      <c r="E86" s="840"/>
      <c r="F86" s="841"/>
      <c r="G86" s="841" t="s">
        <v>1200</v>
      </c>
      <c r="H86" s="841">
        <f t="shared" si="27"/>
        <v>240</v>
      </c>
      <c r="I86" s="840">
        <f t="shared" ref="I86:I149" si="50">IF(G86="S",H86/1000+0.75,IF(G86="D",(H86/1000+0.75)*2,IF(G86="T",(H86/1000+0.75)*3,(H86/1000+0.75)*4)))</f>
        <v>0.99</v>
      </c>
      <c r="J86" s="840"/>
      <c r="K86" s="840">
        <f t="shared" si="39"/>
        <v>0.84</v>
      </c>
      <c r="L86" s="840">
        <f t="shared" si="28"/>
        <v>1.04</v>
      </c>
      <c r="M86" s="1020">
        <f t="shared" si="29"/>
        <v>0</v>
      </c>
      <c r="N86" s="1020">
        <f t="shared" si="48"/>
        <v>0</v>
      </c>
      <c r="O86" s="1020">
        <f t="shared" si="30"/>
        <v>0</v>
      </c>
      <c r="P86" s="1020">
        <f t="shared" si="31"/>
        <v>0</v>
      </c>
      <c r="Q86" s="1020">
        <f t="shared" si="49"/>
        <v>0</v>
      </c>
      <c r="R86" s="1020">
        <v>0.2</v>
      </c>
      <c r="S86" s="1020">
        <f t="shared" si="32"/>
        <v>0</v>
      </c>
      <c r="T86" s="1020">
        <f t="shared" si="40"/>
        <v>0</v>
      </c>
      <c r="U86" s="1020">
        <f t="shared" si="33"/>
        <v>0</v>
      </c>
      <c r="V86" s="1020">
        <f t="shared" si="34"/>
        <v>0</v>
      </c>
      <c r="W86" s="1020">
        <f t="shared" si="41"/>
        <v>0</v>
      </c>
      <c r="X86" s="1020">
        <f t="shared" si="35"/>
        <v>0</v>
      </c>
      <c r="Y86" s="1020">
        <f t="shared" si="36"/>
        <v>0</v>
      </c>
      <c r="Z86" s="842">
        <f t="shared" si="25"/>
        <v>0</v>
      </c>
      <c r="AA86" s="842">
        <f t="shared" si="37"/>
        <v>0</v>
      </c>
      <c r="AB86" s="842">
        <f t="shared" si="37"/>
        <v>0</v>
      </c>
      <c r="AC86" s="842">
        <f t="shared" si="46"/>
        <v>0</v>
      </c>
      <c r="AD86" s="1020">
        <f t="shared" si="43"/>
        <v>0</v>
      </c>
      <c r="AE86" s="1537">
        <f t="shared" si="44"/>
        <v>0</v>
      </c>
    </row>
    <row r="87" spans="1:31" s="1021" customFormat="1" ht="30.75" hidden="1" customHeight="1">
      <c r="A87" s="837"/>
      <c r="B87" s="838"/>
      <c r="C87" s="843"/>
      <c r="D87" s="843"/>
      <c r="E87" s="840"/>
      <c r="F87" s="841"/>
      <c r="G87" s="841" t="s">
        <v>1200</v>
      </c>
      <c r="H87" s="841">
        <f t="shared" si="27"/>
        <v>240</v>
      </c>
      <c r="I87" s="840">
        <f t="shared" si="50"/>
        <v>0.99</v>
      </c>
      <c r="J87" s="840"/>
      <c r="K87" s="840">
        <f t="shared" si="39"/>
        <v>0.84</v>
      </c>
      <c r="L87" s="840">
        <f t="shared" si="28"/>
        <v>1.04</v>
      </c>
      <c r="M87" s="1020">
        <f t="shared" si="29"/>
        <v>0</v>
      </c>
      <c r="N87" s="1020">
        <f t="shared" si="48"/>
        <v>0</v>
      </c>
      <c r="O87" s="1020">
        <f t="shared" si="30"/>
        <v>0</v>
      </c>
      <c r="P87" s="1020">
        <f t="shared" si="31"/>
        <v>0</v>
      </c>
      <c r="Q87" s="1020">
        <f t="shared" si="49"/>
        <v>0</v>
      </c>
      <c r="R87" s="1020">
        <v>0.2</v>
      </c>
      <c r="S87" s="1020">
        <f t="shared" si="32"/>
        <v>0</v>
      </c>
      <c r="T87" s="1020">
        <f t="shared" si="40"/>
        <v>0</v>
      </c>
      <c r="U87" s="1020">
        <f t="shared" si="33"/>
        <v>0</v>
      </c>
      <c r="V87" s="1020">
        <f t="shared" si="34"/>
        <v>0</v>
      </c>
      <c r="W87" s="1020">
        <f t="shared" si="41"/>
        <v>0</v>
      </c>
      <c r="X87" s="1020">
        <f t="shared" si="35"/>
        <v>0</v>
      </c>
      <c r="Y87" s="1020">
        <f t="shared" si="36"/>
        <v>0</v>
      </c>
      <c r="Z87" s="842">
        <f t="shared" si="25"/>
        <v>0</v>
      </c>
      <c r="AA87" s="842">
        <f t="shared" si="37"/>
        <v>0</v>
      </c>
      <c r="AB87" s="842">
        <f t="shared" si="37"/>
        <v>0</v>
      </c>
      <c r="AC87" s="842">
        <f t="shared" si="46"/>
        <v>0</v>
      </c>
      <c r="AD87" s="1020">
        <f t="shared" si="43"/>
        <v>0</v>
      </c>
      <c r="AE87" s="1537">
        <f t="shared" si="44"/>
        <v>0</v>
      </c>
    </row>
    <row r="88" spans="1:31" s="1021" customFormat="1" ht="30.75" hidden="1" customHeight="1">
      <c r="A88" s="837"/>
      <c r="B88" s="838"/>
      <c r="C88" s="843"/>
      <c r="D88" s="843"/>
      <c r="E88" s="840"/>
      <c r="F88" s="841"/>
      <c r="G88" s="841" t="s">
        <v>1200</v>
      </c>
      <c r="H88" s="841">
        <f t="shared" si="27"/>
        <v>240</v>
      </c>
      <c r="I88" s="840">
        <f t="shared" si="50"/>
        <v>0.99</v>
      </c>
      <c r="J88" s="840"/>
      <c r="K88" s="840">
        <f t="shared" si="39"/>
        <v>0.84</v>
      </c>
      <c r="L88" s="840">
        <f t="shared" si="28"/>
        <v>1.04</v>
      </c>
      <c r="M88" s="1020">
        <f t="shared" si="29"/>
        <v>0</v>
      </c>
      <c r="N88" s="1020">
        <f t="shared" si="48"/>
        <v>0</v>
      </c>
      <c r="O88" s="1020">
        <f t="shared" si="30"/>
        <v>0</v>
      </c>
      <c r="P88" s="1020">
        <f t="shared" si="31"/>
        <v>0</v>
      </c>
      <c r="Q88" s="1020">
        <f t="shared" si="49"/>
        <v>0</v>
      </c>
      <c r="R88" s="1020">
        <v>0.2</v>
      </c>
      <c r="S88" s="1020">
        <f t="shared" si="32"/>
        <v>0</v>
      </c>
      <c r="T88" s="1020">
        <f t="shared" si="40"/>
        <v>0</v>
      </c>
      <c r="U88" s="1020">
        <f t="shared" si="33"/>
        <v>0</v>
      </c>
      <c r="V88" s="1020">
        <f t="shared" si="34"/>
        <v>0</v>
      </c>
      <c r="W88" s="1020">
        <f t="shared" si="41"/>
        <v>0</v>
      </c>
      <c r="X88" s="1020">
        <f t="shared" si="35"/>
        <v>0</v>
      </c>
      <c r="Y88" s="1020">
        <f t="shared" si="36"/>
        <v>0</v>
      </c>
      <c r="Z88" s="842">
        <f t="shared" si="25"/>
        <v>0</v>
      </c>
      <c r="AA88" s="842">
        <f t="shared" si="37"/>
        <v>0</v>
      </c>
      <c r="AB88" s="842">
        <f t="shared" si="37"/>
        <v>0</v>
      </c>
      <c r="AC88" s="842">
        <f t="shared" si="46"/>
        <v>0</v>
      </c>
      <c r="AD88" s="1020">
        <f t="shared" si="43"/>
        <v>0</v>
      </c>
      <c r="AE88" s="1537">
        <f t="shared" si="44"/>
        <v>0</v>
      </c>
    </row>
    <row r="89" spans="1:31" s="1021" customFormat="1" ht="30.75" hidden="1" customHeight="1">
      <c r="A89" s="837"/>
      <c r="B89" s="838"/>
      <c r="C89" s="843"/>
      <c r="D89" s="843"/>
      <c r="E89" s="840"/>
      <c r="F89" s="841"/>
      <c r="G89" s="841" t="s">
        <v>1200</v>
      </c>
      <c r="H89" s="841">
        <f t="shared" si="27"/>
        <v>240</v>
      </c>
      <c r="I89" s="840">
        <f t="shared" si="50"/>
        <v>0.99</v>
      </c>
      <c r="J89" s="840"/>
      <c r="K89" s="840">
        <f t="shared" si="39"/>
        <v>0.84</v>
      </c>
      <c r="L89" s="840">
        <f t="shared" si="28"/>
        <v>1.04</v>
      </c>
      <c r="M89" s="1020">
        <f t="shared" si="29"/>
        <v>0</v>
      </c>
      <c r="N89" s="1020">
        <f t="shared" si="48"/>
        <v>0</v>
      </c>
      <c r="O89" s="1020">
        <f t="shared" si="30"/>
        <v>0</v>
      </c>
      <c r="P89" s="1020">
        <f t="shared" si="31"/>
        <v>0</v>
      </c>
      <c r="Q89" s="1020">
        <f t="shared" si="49"/>
        <v>0</v>
      </c>
      <c r="R89" s="1020">
        <v>0.2</v>
      </c>
      <c r="S89" s="1020">
        <f t="shared" si="32"/>
        <v>0</v>
      </c>
      <c r="T89" s="1020">
        <f t="shared" si="40"/>
        <v>0</v>
      </c>
      <c r="U89" s="1020">
        <f t="shared" si="33"/>
        <v>0</v>
      </c>
      <c r="V89" s="1020">
        <f t="shared" si="34"/>
        <v>0</v>
      </c>
      <c r="W89" s="1020">
        <f t="shared" si="41"/>
        <v>0</v>
      </c>
      <c r="X89" s="1020">
        <f t="shared" si="35"/>
        <v>0</v>
      </c>
      <c r="Y89" s="1020">
        <f t="shared" si="36"/>
        <v>0</v>
      </c>
      <c r="Z89" s="842">
        <f t="shared" ref="Z89:Z152" si="51">ROUND(Y89*1.3*4,2)</f>
        <v>0</v>
      </c>
      <c r="AA89" s="842">
        <f t="shared" si="37"/>
        <v>0</v>
      </c>
      <c r="AB89" s="842">
        <f t="shared" si="37"/>
        <v>0</v>
      </c>
      <c r="AC89" s="842">
        <f t="shared" si="46"/>
        <v>0</v>
      </c>
      <c r="AD89" s="1020">
        <f t="shared" si="43"/>
        <v>0</v>
      </c>
      <c r="AE89" s="1537">
        <f t="shared" si="44"/>
        <v>0</v>
      </c>
    </row>
    <row r="90" spans="1:31" s="1021" customFormat="1" ht="30.75" hidden="1" customHeight="1">
      <c r="A90" s="837"/>
      <c r="B90" s="838"/>
      <c r="C90" s="843"/>
      <c r="D90" s="843"/>
      <c r="E90" s="840"/>
      <c r="F90" s="841"/>
      <c r="G90" s="841" t="s">
        <v>1200</v>
      </c>
      <c r="H90" s="841">
        <f t="shared" si="27"/>
        <v>240</v>
      </c>
      <c r="I90" s="840">
        <f t="shared" si="50"/>
        <v>0.99</v>
      </c>
      <c r="J90" s="840"/>
      <c r="K90" s="840">
        <f t="shared" si="39"/>
        <v>0.84</v>
      </c>
      <c r="L90" s="840">
        <f t="shared" si="28"/>
        <v>1.04</v>
      </c>
      <c r="M90" s="1020">
        <f t="shared" si="29"/>
        <v>0</v>
      </c>
      <c r="N90" s="1020">
        <f t="shared" si="48"/>
        <v>0</v>
      </c>
      <c r="O90" s="1020">
        <f t="shared" si="30"/>
        <v>0</v>
      </c>
      <c r="P90" s="1020">
        <f t="shared" si="31"/>
        <v>0</v>
      </c>
      <c r="Q90" s="1020">
        <f t="shared" si="49"/>
        <v>0</v>
      </c>
      <c r="R90" s="1020">
        <v>0.2</v>
      </c>
      <c r="S90" s="1020">
        <f t="shared" si="32"/>
        <v>0</v>
      </c>
      <c r="T90" s="1020">
        <f t="shared" si="40"/>
        <v>0</v>
      </c>
      <c r="U90" s="1020">
        <f t="shared" si="33"/>
        <v>0</v>
      </c>
      <c r="V90" s="1020">
        <f t="shared" si="34"/>
        <v>0</v>
      </c>
      <c r="W90" s="1020">
        <f t="shared" si="41"/>
        <v>0</v>
      </c>
      <c r="X90" s="1020">
        <f t="shared" si="35"/>
        <v>0</v>
      </c>
      <c r="Y90" s="1020">
        <f t="shared" si="36"/>
        <v>0</v>
      </c>
      <c r="Z90" s="842">
        <f t="shared" si="51"/>
        <v>0</v>
      </c>
      <c r="AA90" s="842">
        <f t="shared" si="37"/>
        <v>0</v>
      </c>
      <c r="AB90" s="842">
        <f t="shared" si="37"/>
        <v>0</v>
      </c>
      <c r="AC90" s="842">
        <f t="shared" si="46"/>
        <v>0</v>
      </c>
      <c r="AD90" s="1020">
        <f t="shared" si="43"/>
        <v>0</v>
      </c>
      <c r="AE90" s="1537">
        <f t="shared" si="44"/>
        <v>0</v>
      </c>
    </row>
    <row r="91" spans="1:31" s="1021" customFormat="1" ht="30.75" hidden="1" customHeight="1">
      <c r="A91" s="837"/>
      <c r="B91" s="838"/>
      <c r="C91" s="843"/>
      <c r="D91" s="843"/>
      <c r="E91" s="840"/>
      <c r="F91" s="841"/>
      <c r="G91" s="841" t="s">
        <v>1200</v>
      </c>
      <c r="H91" s="841">
        <f t="shared" si="27"/>
        <v>240</v>
      </c>
      <c r="I91" s="840">
        <f t="shared" si="50"/>
        <v>0.99</v>
      </c>
      <c r="J91" s="840"/>
      <c r="K91" s="840">
        <f t="shared" si="39"/>
        <v>0.84</v>
      </c>
      <c r="L91" s="840">
        <f t="shared" si="28"/>
        <v>1.04</v>
      </c>
      <c r="M91" s="1020">
        <f t="shared" si="29"/>
        <v>0</v>
      </c>
      <c r="N91" s="1020">
        <f t="shared" si="48"/>
        <v>0</v>
      </c>
      <c r="O91" s="1020">
        <f t="shared" si="30"/>
        <v>0</v>
      </c>
      <c r="P91" s="1020">
        <f t="shared" si="31"/>
        <v>0</v>
      </c>
      <c r="Q91" s="1020">
        <f t="shared" si="49"/>
        <v>0</v>
      </c>
      <c r="R91" s="1020">
        <v>0.2</v>
      </c>
      <c r="S91" s="1020">
        <f t="shared" si="32"/>
        <v>0</v>
      </c>
      <c r="T91" s="1020">
        <f t="shared" si="40"/>
        <v>0</v>
      </c>
      <c r="U91" s="1020">
        <f t="shared" si="33"/>
        <v>0</v>
      </c>
      <c r="V91" s="1020">
        <f t="shared" si="34"/>
        <v>0</v>
      </c>
      <c r="W91" s="1020">
        <f t="shared" si="41"/>
        <v>0</v>
      </c>
      <c r="X91" s="1020">
        <f t="shared" si="35"/>
        <v>0</v>
      </c>
      <c r="Y91" s="1020">
        <f t="shared" si="36"/>
        <v>0</v>
      </c>
      <c r="Z91" s="842">
        <f t="shared" si="51"/>
        <v>0</v>
      </c>
      <c r="AA91" s="842">
        <f t="shared" si="37"/>
        <v>0</v>
      </c>
      <c r="AB91" s="842">
        <f t="shared" si="37"/>
        <v>0</v>
      </c>
      <c r="AC91" s="842">
        <f t="shared" si="46"/>
        <v>0</v>
      </c>
      <c r="AD91" s="1020">
        <f t="shared" si="43"/>
        <v>0</v>
      </c>
      <c r="AE91" s="1537">
        <f t="shared" si="44"/>
        <v>0</v>
      </c>
    </row>
    <row r="92" spans="1:31" s="1021" customFormat="1" ht="30.75" hidden="1" customHeight="1">
      <c r="A92" s="837"/>
      <c r="B92" s="838"/>
      <c r="C92" s="843"/>
      <c r="D92" s="843"/>
      <c r="E92" s="840"/>
      <c r="F92" s="841"/>
      <c r="G92" s="841" t="s">
        <v>1200</v>
      </c>
      <c r="H92" s="841">
        <f t="shared" si="27"/>
        <v>240</v>
      </c>
      <c r="I92" s="840">
        <f t="shared" si="50"/>
        <v>0.99</v>
      </c>
      <c r="J92" s="840"/>
      <c r="K92" s="840">
        <f t="shared" si="39"/>
        <v>0.84</v>
      </c>
      <c r="L92" s="840">
        <f t="shared" si="28"/>
        <v>1.04</v>
      </c>
      <c r="M92" s="1020">
        <f t="shared" si="29"/>
        <v>0</v>
      </c>
      <c r="N92" s="1020">
        <f t="shared" si="48"/>
        <v>0</v>
      </c>
      <c r="O92" s="1020">
        <f t="shared" si="30"/>
        <v>0</v>
      </c>
      <c r="P92" s="1020">
        <f t="shared" si="31"/>
        <v>0</v>
      </c>
      <c r="Q92" s="1020">
        <f t="shared" si="49"/>
        <v>0</v>
      </c>
      <c r="R92" s="1020">
        <v>0.2</v>
      </c>
      <c r="S92" s="1020">
        <f t="shared" si="32"/>
        <v>0</v>
      </c>
      <c r="T92" s="1020">
        <f t="shared" si="40"/>
        <v>0</v>
      </c>
      <c r="U92" s="1020">
        <f t="shared" si="33"/>
        <v>0</v>
      </c>
      <c r="V92" s="1020">
        <f t="shared" si="34"/>
        <v>0</v>
      </c>
      <c r="W92" s="1020">
        <f t="shared" si="41"/>
        <v>0</v>
      </c>
      <c r="X92" s="1020">
        <f t="shared" si="35"/>
        <v>0</v>
      </c>
      <c r="Y92" s="1020">
        <f t="shared" si="36"/>
        <v>0</v>
      </c>
      <c r="Z92" s="842">
        <f t="shared" si="51"/>
        <v>0</v>
      </c>
      <c r="AA92" s="842">
        <f t="shared" si="37"/>
        <v>0</v>
      </c>
      <c r="AB92" s="842">
        <f t="shared" si="37"/>
        <v>0</v>
      </c>
      <c r="AC92" s="842">
        <f t="shared" si="46"/>
        <v>0</v>
      </c>
      <c r="AD92" s="1020">
        <f t="shared" si="43"/>
        <v>0</v>
      </c>
      <c r="AE92" s="1537">
        <f t="shared" si="44"/>
        <v>0</v>
      </c>
    </row>
    <row r="93" spans="1:31" s="1024" customFormat="1" ht="30.75" hidden="1" customHeight="1">
      <c r="A93" s="837"/>
      <c r="B93" s="838"/>
      <c r="C93" s="843"/>
      <c r="D93" s="843"/>
      <c r="E93" s="840"/>
      <c r="F93" s="841"/>
      <c r="G93" s="841" t="s">
        <v>1200</v>
      </c>
      <c r="H93" s="841">
        <f t="shared" si="27"/>
        <v>240</v>
      </c>
      <c r="I93" s="840">
        <f t="shared" si="50"/>
        <v>0.99</v>
      </c>
      <c r="J93" s="840"/>
      <c r="K93" s="840">
        <f t="shared" si="39"/>
        <v>0.84</v>
      </c>
      <c r="L93" s="840">
        <f t="shared" si="28"/>
        <v>1.04</v>
      </c>
      <c r="M93" s="1020">
        <f t="shared" si="29"/>
        <v>0</v>
      </c>
      <c r="N93" s="1020">
        <f t="shared" si="48"/>
        <v>0</v>
      </c>
      <c r="O93" s="1020">
        <f t="shared" si="30"/>
        <v>0</v>
      </c>
      <c r="P93" s="1020">
        <f t="shared" si="31"/>
        <v>0</v>
      </c>
      <c r="Q93" s="1020">
        <f t="shared" si="49"/>
        <v>0</v>
      </c>
      <c r="R93" s="1020">
        <v>0.2</v>
      </c>
      <c r="S93" s="1020">
        <f t="shared" si="32"/>
        <v>0</v>
      </c>
      <c r="T93" s="1020">
        <f t="shared" si="40"/>
        <v>0</v>
      </c>
      <c r="U93" s="1020">
        <f t="shared" si="33"/>
        <v>0</v>
      </c>
      <c r="V93" s="1020">
        <f t="shared" si="34"/>
        <v>0</v>
      </c>
      <c r="W93" s="1020">
        <f t="shared" si="41"/>
        <v>0</v>
      </c>
      <c r="X93" s="1020">
        <f t="shared" si="35"/>
        <v>0</v>
      </c>
      <c r="Y93" s="1020">
        <f t="shared" si="36"/>
        <v>0</v>
      </c>
      <c r="Z93" s="842">
        <f t="shared" si="51"/>
        <v>0</v>
      </c>
      <c r="AA93" s="842">
        <f t="shared" si="37"/>
        <v>0</v>
      </c>
      <c r="AB93" s="842">
        <f t="shared" si="37"/>
        <v>0</v>
      </c>
      <c r="AC93" s="842">
        <f t="shared" si="46"/>
        <v>0</v>
      </c>
      <c r="AD93" s="1020">
        <f t="shared" si="43"/>
        <v>0</v>
      </c>
      <c r="AE93" s="1537">
        <f t="shared" si="44"/>
        <v>0</v>
      </c>
    </row>
    <row r="94" spans="1:31" s="1024" customFormat="1" ht="30.75" hidden="1" customHeight="1">
      <c r="A94" s="837"/>
      <c r="B94" s="838"/>
      <c r="C94" s="843"/>
      <c r="D94" s="843"/>
      <c r="E94" s="840"/>
      <c r="F94" s="841"/>
      <c r="G94" s="841" t="s">
        <v>1200</v>
      </c>
      <c r="H94" s="841">
        <f t="shared" si="27"/>
        <v>240</v>
      </c>
      <c r="I94" s="840">
        <f t="shared" si="50"/>
        <v>0.99</v>
      </c>
      <c r="J94" s="840"/>
      <c r="K94" s="840">
        <f t="shared" si="39"/>
        <v>0.84</v>
      </c>
      <c r="L94" s="840">
        <f t="shared" si="28"/>
        <v>1.04</v>
      </c>
      <c r="M94" s="1020">
        <f t="shared" si="29"/>
        <v>0</v>
      </c>
      <c r="N94" s="1020">
        <f t="shared" si="48"/>
        <v>0</v>
      </c>
      <c r="O94" s="1020">
        <f t="shared" si="30"/>
        <v>0</v>
      </c>
      <c r="P94" s="1020">
        <f t="shared" si="31"/>
        <v>0</v>
      </c>
      <c r="Q94" s="1020">
        <f t="shared" si="49"/>
        <v>0</v>
      </c>
      <c r="R94" s="1020">
        <v>0.2</v>
      </c>
      <c r="S94" s="1020">
        <f t="shared" si="32"/>
        <v>0</v>
      </c>
      <c r="T94" s="1020">
        <f t="shared" si="40"/>
        <v>0</v>
      </c>
      <c r="U94" s="1020">
        <f t="shared" si="33"/>
        <v>0</v>
      </c>
      <c r="V94" s="1020">
        <f t="shared" si="34"/>
        <v>0</v>
      </c>
      <c r="W94" s="1020">
        <f t="shared" si="41"/>
        <v>0</v>
      </c>
      <c r="X94" s="1020">
        <f t="shared" si="35"/>
        <v>0</v>
      </c>
      <c r="Y94" s="1020">
        <f t="shared" si="36"/>
        <v>0</v>
      </c>
      <c r="Z94" s="842">
        <f t="shared" si="51"/>
        <v>0</v>
      </c>
      <c r="AA94" s="842">
        <f t="shared" si="37"/>
        <v>0</v>
      </c>
      <c r="AB94" s="842">
        <f t="shared" si="37"/>
        <v>0</v>
      </c>
      <c r="AC94" s="842">
        <f t="shared" si="46"/>
        <v>0</v>
      </c>
      <c r="AD94" s="1020">
        <f t="shared" si="43"/>
        <v>0</v>
      </c>
      <c r="AE94" s="1537">
        <f t="shared" si="44"/>
        <v>0</v>
      </c>
    </row>
    <row r="95" spans="1:31" s="1024" customFormat="1" ht="30.75" hidden="1" customHeight="1">
      <c r="A95" s="837"/>
      <c r="B95" s="838"/>
      <c r="C95" s="843"/>
      <c r="D95" s="843"/>
      <c r="E95" s="840"/>
      <c r="F95" s="841"/>
      <c r="G95" s="841" t="s">
        <v>1200</v>
      </c>
      <c r="H95" s="841">
        <f t="shared" si="27"/>
        <v>240</v>
      </c>
      <c r="I95" s="840">
        <f t="shared" si="50"/>
        <v>0.99</v>
      </c>
      <c r="J95" s="840"/>
      <c r="K95" s="840">
        <f t="shared" si="39"/>
        <v>0.84</v>
      </c>
      <c r="L95" s="840">
        <f t="shared" si="28"/>
        <v>1.04</v>
      </c>
      <c r="M95" s="1020">
        <f t="shared" si="29"/>
        <v>0</v>
      </c>
      <c r="N95" s="1020">
        <f t="shared" si="48"/>
        <v>0</v>
      </c>
      <c r="O95" s="1020">
        <f t="shared" si="30"/>
        <v>0</v>
      </c>
      <c r="P95" s="1020">
        <f t="shared" si="31"/>
        <v>0</v>
      </c>
      <c r="Q95" s="1020">
        <f t="shared" si="49"/>
        <v>0</v>
      </c>
      <c r="R95" s="1020">
        <v>0.2</v>
      </c>
      <c r="S95" s="1020">
        <f t="shared" si="32"/>
        <v>0</v>
      </c>
      <c r="T95" s="1020">
        <f t="shared" si="40"/>
        <v>0</v>
      </c>
      <c r="U95" s="1020">
        <f t="shared" si="33"/>
        <v>0</v>
      </c>
      <c r="V95" s="1020">
        <f t="shared" si="34"/>
        <v>0</v>
      </c>
      <c r="W95" s="1020">
        <f t="shared" si="41"/>
        <v>0</v>
      </c>
      <c r="X95" s="1020">
        <f t="shared" si="35"/>
        <v>0</v>
      </c>
      <c r="Y95" s="1020">
        <f t="shared" si="36"/>
        <v>0</v>
      </c>
      <c r="Z95" s="842">
        <f t="shared" si="51"/>
        <v>0</v>
      </c>
      <c r="AA95" s="842">
        <f t="shared" si="37"/>
        <v>0</v>
      </c>
      <c r="AB95" s="842">
        <f t="shared" si="37"/>
        <v>0</v>
      </c>
      <c r="AC95" s="842">
        <f t="shared" si="46"/>
        <v>0</v>
      </c>
      <c r="AD95" s="1020">
        <f t="shared" si="43"/>
        <v>0</v>
      </c>
      <c r="AE95" s="1537">
        <f t="shared" si="44"/>
        <v>0</v>
      </c>
    </row>
    <row r="96" spans="1:31" s="1024" customFormat="1" ht="30.75" hidden="1" customHeight="1">
      <c r="A96" s="837"/>
      <c r="B96" s="838"/>
      <c r="C96" s="843"/>
      <c r="D96" s="843"/>
      <c r="E96" s="840"/>
      <c r="F96" s="841"/>
      <c r="G96" s="841" t="s">
        <v>1200</v>
      </c>
      <c r="H96" s="841">
        <f t="shared" si="27"/>
        <v>240</v>
      </c>
      <c r="I96" s="840">
        <f t="shared" si="50"/>
        <v>0.99</v>
      </c>
      <c r="J96" s="840"/>
      <c r="K96" s="840">
        <f t="shared" si="39"/>
        <v>0.84</v>
      </c>
      <c r="L96" s="840">
        <f t="shared" si="28"/>
        <v>1.04</v>
      </c>
      <c r="M96" s="1020">
        <f t="shared" si="29"/>
        <v>0</v>
      </c>
      <c r="N96" s="1020">
        <f t="shared" si="48"/>
        <v>0</v>
      </c>
      <c r="O96" s="1020">
        <f t="shared" si="30"/>
        <v>0</v>
      </c>
      <c r="P96" s="1020">
        <f t="shared" si="31"/>
        <v>0</v>
      </c>
      <c r="Q96" s="1020">
        <f t="shared" si="49"/>
        <v>0</v>
      </c>
      <c r="R96" s="1020">
        <v>0.2</v>
      </c>
      <c r="S96" s="1020">
        <f t="shared" si="32"/>
        <v>0</v>
      </c>
      <c r="T96" s="1020">
        <f t="shared" si="40"/>
        <v>0</v>
      </c>
      <c r="U96" s="1020">
        <f t="shared" si="33"/>
        <v>0</v>
      </c>
      <c r="V96" s="1020">
        <f t="shared" si="34"/>
        <v>0</v>
      </c>
      <c r="W96" s="1020">
        <f t="shared" si="41"/>
        <v>0</v>
      </c>
      <c r="X96" s="1020">
        <f t="shared" si="35"/>
        <v>0</v>
      </c>
      <c r="Y96" s="1020">
        <f t="shared" si="36"/>
        <v>0</v>
      </c>
      <c r="Z96" s="842">
        <f t="shared" si="51"/>
        <v>0</v>
      </c>
      <c r="AA96" s="842">
        <f t="shared" si="37"/>
        <v>0</v>
      </c>
      <c r="AB96" s="842">
        <f t="shared" si="37"/>
        <v>0</v>
      </c>
      <c r="AC96" s="842">
        <f t="shared" si="46"/>
        <v>0</v>
      </c>
      <c r="AD96" s="1020">
        <f t="shared" si="43"/>
        <v>0</v>
      </c>
      <c r="AE96" s="1537">
        <f t="shared" si="44"/>
        <v>0</v>
      </c>
    </row>
    <row r="97" spans="1:31" s="1024" customFormat="1" ht="30.75" hidden="1" customHeight="1">
      <c r="A97" s="837"/>
      <c r="B97" s="838"/>
      <c r="C97" s="843"/>
      <c r="D97" s="843"/>
      <c r="E97" s="840"/>
      <c r="F97" s="841"/>
      <c r="G97" s="841" t="s">
        <v>1200</v>
      </c>
      <c r="H97" s="841">
        <f t="shared" si="27"/>
        <v>240</v>
      </c>
      <c r="I97" s="840">
        <f t="shared" si="50"/>
        <v>0.99</v>
      </c>
      <c r="J97" s="840"/>
      <c r="K97" s="840">
        <f t="shared" si="39"/>
        <v>0.84</v>
      </c>
      <c r="L97" s="840">
        <f t="shared" si="28"/>
        <v>1.04</v>
      </c>
      <c r="M97" s="1020">
        <f t="shared" si="29"/>
        <v>0</v>
      </c>
      <c r="N97" s="1020">
        <f t="shared" si="48"/>
        <v>0</v>
      </c>
      <c r="O97" s="1020">
        <f t="shared" si="30"/>
        <v>0</v>
      </c>
      <c r="P97" s="1020">
        <f t="shared" si="31"/>
        <v>0</v>
      </c>
      <c r="Q97" s="1020">
        <f t="shared" si="49"/>
        <v>0</v>
      </c>
      <c r="R97" s="1020">
        <v>0.2</v>
      </c>
      <c r="S97" s="1020">
        <f t="shared" si="32"/>
        <v>0</v>
      </c>
      <c r="T97" s="1020">
        <f t="shared" si="40"/>
        <v>0</v>
      </c>
      <c r="U97" s="1020">
        <f t="shared" si="33"/>
        <v>0</v>
      </c>
      <c r="V97" s="1020">
        <f t="shared" si="34"/>
        <v>0</v>
      </c>
      <c r="W97" s="1020">
        <f t="shared" si="41"/>
        <v>0</v>
      </c>
      <c r="X97" s="1020">
        <f t="shared" si="35"/>
        <v>0</v>
      </c>
      <c r="Y97" s="1020">
        <f t="shared" si="36"/>
        <v>0</v>
      </c>
      <c r="Z97" s="842">
        <f t="shared" si="51"/>
        <v>0</v>
      </c>
      <c r="AA97" s="842">
        <f t="shared" si="37"/>
        <v>0</v>
      </c>
      <c r="AB97" s="842">
        <f t="shared" si="37"/>
        <v>0</v>
      </c>
      <c r="AC97" s="842">
        <f t="shared" si="46"/>
        <v>0</v>
      </c>
      <c r="AD97" s="1020">
        <f t="shared" si="43"/>
        <v>0</v>
      </c>
      <c r="AE97" s="1537">
        <f t="shared" si="44"/>
        <v>0</v>
      </c>
    </row>
    <row r="98" spans="1:31" s="1024" customFormat="1" ht="30.75" hidden="1" customHeight="1">
      <c r="A98" s="837"/>
      <c r="B98" s="838"/>
      <c r="C98" s="843"/>
      <c r="D98" s="843"/>
      <c r="E98" s="840"/>
      <c r="F98" s="841"/>
      <c r="G98" s="841" t="s">
        <v>1200</v>
      </c>
      <c r="H98" s="841">
        <f t="shared" si="27"/>
        <v>240</v>
      </c>
      <c r="I98" s="840">
        <f t="shared" si="50"/>
        <v>0.99</v>
      </c>
      <c r="J98" s="840"/>
      <c r="K98" s="840">
        <f t="shared" si="39"/>
        <v>0.84</v>
      </c>
      <c r="L98" s="840">
        <f t="shared" si="28"/>
        <v>1.04</v>
      </c>
      <c r="M98" s="1020">
        <f t="shared" si="29"/>
        <v>0</v>
      </c>
      <c r="N98" s="1020">
        <f t="shared" si="48"/>
        <v>0</v>
      </c>
      <c r="O98" s="1020">
        <f t="shared" si="30"/>
        <v>0</v>
      </c>
      <c r="P98" s="1020">
        <f t="shared" si="31"/>
        <v>0</v>
      </c>
      <c r="Q98" s="1020">
        <f t="shared" si="49"/>
        <v>0</v>
      </c>
      <c r="R98" s="1020">
        <v>0.2</v>
      </c>
      <c r="S98" s="1020">
        <f t="shared" si="32"/>
        <v>0</v>
      </c>
      <c r="T98" s="1020">
        <f t="shared" si="40"/>
        <v>0</v>
      </c>
      <c r="U98" s="1020">
        <f t="shared" si="33"/>
        <v>0</v>
      </c>
      <c r="V98" s="1020">
        <f t="shared" si="34"/>
        <v>0</v>
      </c>
      <c r="W98" s="1020">
        <f t="shared" si="41"/>
        <v>0</v>
      </c>
      <c r="X98" s="1020">
        <f t="shared" si="35"/>
        <v>0</v>
      </c>
      <c r="Y98" s="1020">
        <f t="shared" si="36"/>
        <v>0</v>
      </c>
      <c r="Z98" s="842">
        <f t="shared" si="51"/>
        <v>0</v>
      </c>
      <c r="AA98" s="842">
        <f t="shared" si="37"/>
        <v>0</v>
      </c>
      <c r="AB98" s="842">
        <f t="shared" si="37"/>
        <v>0</v>
      </c>
      <c r="AC98" s="842">
        <f t="shared" si="46"/>
        <v>0</v>
      </c>
      <c r="AD98" s="1020">
        <f t="shared" si="43"/>
        <v>0</v>
      </c>
      <c r="AE98" s="1537">
        <f t="shared" si="44"/>
        <v>0</v>
      </c>
    </row>
    <row r="99" spans="1:31" s="1024" customFormat="1" ht="30.75" hidden="1" customHeight="1">
      <c r="A99" s="837"/>
      <c r="B99" s="838"/>
      <c r="C99" s="843"/>
      <c r="D99" s="843"/>
      <c r="E99" s="840"/>
      <c r="F99" s="841"/>
      <c r="G99" s="841" t="s">
        <v>1200</v>
      </c>
      <c r="H99" s="841">
        <f t="shared" si="27"/>
        <v>240</v>
      </c>
      <c r="I99" s="840">
        <f t="shared" si="50"/>
        <v>0.99</v>
      </c>
      <c r="J99" s="840"/>
      <c r="K99" s="840">
        <f t="shared" si="39"/>
        <v>0.84</v>
      </c>
      <c r="L99" s="840">
        <f t="shared" si="28"/>
        <v>1.04</v>
      </c>
      <c r="M99" s="1020">
        <f t="shared" si="29"/>
        <v>0</v>
      </c>
      <c r="N99" s="1020">
        <f t="shared" si="48"/>
        <v>0</v>
      </c>
      <c r="O99" s="1020">
        <f t="shared" si="30"/>
        <v>0</v>
      </c>
      <c r="P99" s="1020">
        <f t="shared" si="31"/>
        <v>0</v>
      </c>
      <c r="Q99" s="1020">
        <f t="shared" si="49"/>
        <v>0</v>
      </c>
      <c r="R99" s="1020">
        <v>0.2</v>
      </c>
      <c r="S99" s="1020">
        <f t="shared" si="32"/>
        <v>0</v>
      </c>
      <c r="T99" s="1020">
        <f t="shared" si="40"/>
        <v>0</v>
      </c>
      <c r="U99" s="1020">
        <f t="shared" si="33"/>
        <v>0</v>
      </c>
      <c r="V99" s="1020">
        <f t="shared" si="34"/>
        <v>0</v>
      </c>
      <c r="W99" s="1020">
        <f t="shared" si="41"/>
        <v>0</v>
      </c>
      <c r="X99" s="1020">
        <f t="shared" si="35"/>
        <v>0</v>
      </c>
      <c r="Y99" s="1020">
        <f t="shared" si="36"/>
        <v>0</v>
      </c>
      <c r="Z99" s="842">
        <f t="shared" si="51"/>
        <v>0</v>
      </c>
      <c r="AA99" s="842">
        <f t="shared" si="37"/>
        <v>0</v>
      </c>
      <c r="AB99" s="842">
        <f t="shared" si="37"/>
        <v>0</v>
      </c>
      <c r="AC99" s="842">
        <f t="shared" si="46"/>
        <v>0</v>
      </c>
      <c r="AD99" s="1020">
        <f t="shared" si="43"/>
        <v>0</v>
      </c>
      <c r="AE99" s="1537">
        <f t="shared" si="44"/>
        <v>0</v>
      </c>
    </row>
    <row r="100" spans="1:31" s="1024" customFormat="1" ht="30.75" hidden="1" customHeight="1">
      <c r="A100" s="837"/>
      <c r="B100" s="838"/>
      <c r="C100" s="843"/>
      <c r="D100" s="843"/>
      <c r="E100" s="840"/>
      <c r="F100" s="841"/>
      <c r="G100" s="841" t="s">
        <v>1200</v>
      </c>
      <c r="H100" s="841">
        <f t="shared" si="27"/>
        <v>240</v>
      </c>
      <c r="I100" s="840">
        <f t="shared" si="50"/>
        <v>0.99</v>
      </c>
      <c r="J100" s="840"/>
      <c r="K100" s="840">
        <f t="shared" si="39"/>
        <v>0.84</v>
      </c>
      <c r="L100" s="840">
        <f t="shared" si="28"/>
        <v>1.04</v>
      </c>
      <c r="M100" s="1020">
        <f t="shared" si="29"/>
        <v>0</v>
      </c>
      <c r="N100" s="1020">
        <f t="shared" si="48"/>
        <v>0</v>
      </c>
      <c r="O100" s="1020">
        <f t="shared" si="30"/>
        <v>0</v>
      </c>
      <c r="P100" s="1020">
        <f t="shared" si="31"/>
        <v>0</v>
      </c>
      <c r="Q100" s="1020">
        <f t="shared" si="49"/>
        <v>0</v>
      </c>
      <c r="R100" s="1020">
        <v>0.2</v>
      </c>
      <c r="S100" s="1020">
        <f t="shared" si="32"/>
        <v>0</v>
      </c>
      <c r="T100" s="1020">
        <f t="shared" si="40"/>
        <v>0</v>
      </c>
      <c r="U100" s="1020">
        <f t="shared" si="33"/>
        <v>0</v>
      </c>
      <c r="V100" s="1020">
        <f t="shared" si="34"/>
        <v>0</v>
      </c>
      <c r="W100" s="1020">
        <f t="shared" si="41"/>
        <v>0</v>
      </c>
      <c r="X100" s="1020">
        <f t="shared" si="35"/>
        <v>0</v>
      </c>
      <c r="Y100" s="1020">
        <f t="shared" si="36"/>
        <v>0</v>
      </c>
      <c r="Z100" s="842">
        <f t="shared" si="51"/>
        <v>0</v>
      </c>
      <c r="AA100" s="842">
        <f t="shared" si="37"/>
        <v>0</v>
      </c>
      <c r="AB100" s="842">
        <f t="shared" si="37"/>
        <v>0</v>
      </c>
      <c r="AC100" s="842">
        <f t="shared" si="46"/>
        <v>0</v>
      </c>
      <c r="AD100" s="1020">
        <f t="shared" si="43"/>
        <v>0</v>
      </c>
      <c r="AE100" s="1537">
        <f t="shared" si="44"/>
        <v>0</v>
      </c>
    </row>
    <row r="101" spans="1:31" s="1024" customFormat="1" ht="30.75" hidden="1" customHeight="1">
      <c r="A101" s="837"/>
      <c r="B101" s="838"/>
      <c r="C101" s="843"/>
      <c r="D101" s="843"/>
      <c r="E101" s="840"/>
      <c r="F101" s="841"/>
      <c r="G101" s="841" t="s">
        <v>1200</v>
      </c>
      <c r="H101" s="841">
        <f t="shared" si="27"/>
        <v>240</v>
      </c>
      <c r="I101" s="840">
        <f t="shared" si="50"/>
        <v>0.99</v>
      </c>
      <c r="J101" s="840"/>
      <c r="K101" s="840">
        <f t="shared" si="39"/>
        <v>0.84</v>
      </c>
      <c r="L101" s="840">
        <f t="shared" si="28"/>
        <v>1.04</v>
      </c>
      <c r="M101" s="1020">
        <f t="shared" si="29"/>
        <v>0</v>
      </c>
      <c r="N101" s="1020">
        <f t="shared" si="48"/>
        <v>0</v>
      </c>
      <c r="O101" s="1020">
        <f t="shared" si="30"/>
        <v>0</v>
      </c>
      <c r="P101" s="1020">
        <f t="shared" si="31"/>
        <v>0</v>
      </c>
      <c r="Q101" s="1020">
        <f t="shared" si="49"/>
        <v>0</v>
      </c>
      <c r="R101" s="1020">
        <v>0.2</v>
      </c>
      <c r="S101" s="1020">
        <f t="shared" si="32"/>
        <v>0</v>
      </c>
      <c r="T101" s="1020">
        <f t="shared" si="40"/>
        <v>0</v>
      </c>
      <c r="U101" s="1020">
        <f t="shared" si="33"/>
        <v>0</v>
      </c>
      <c r="V101" s="1020">
        <f t="shared" si="34"/>
        <v>0</v>
      </c>
      <c r="W101" s="1020">
        <f t="shared" si="41"/>
        <v>0</v>
      </c>
      <c r="X101" s="1020">
        <f t="shared" si="35"/>
        <v>0</v>
      </c>
      <c r="Y101" s="1020">
        <f t="shared" si="36"/>
        <v>0</v>
      </c>
      <c r="Z101" s="842">
        <f t="shared" si="51"/>
        <v>0</v>
      </c>
      <c r="AA101" s="842">
        <f t="shared" si="37"/>
        <v>0</v>
      </c>
      <c r="AB101" s="842">
        <f t="shared" si="37"/>
        <v>0</v>
      </c>
      <c r="AC101" s="842">
        <f t="shared" si="46"/>
        <v>0</v>
      </c>
      <c r="AD101" s="1020">
        <f t="shared" si="43"/>
        <v>0</v>
      </c>
      <c r="AE101" s="1537">
        <f t="shared" si="44"/>
        <v>0</v>
      </c>
    </row>
    <row r="102" spans="1:31" s="1024" customFormat="1" ht="30.75" hidden="1" customHeight="1">
      <c r="A102" s="837"/>
      <c r="B102" s="838"/>
      <c r="C102" s="843"/>
      <c r="D102" s="843"/>
      <c r="E102" s="840"/>
      <c r="F102" s="841"/>
      <c r="G102" s="841" t="s">
        <v>1200</v>
      </c>
      <c r="H102" s="841">
        <f t="shared" si="27"/>
        <v>240</v>
      </c>
      <c r="I102" s="840">
        <f t="shared" si="50"/>
        <v>0.99</v>
      </c>
      <c r="J102" s="840"/>
      <c r="K102" s="840">
        <f t="shared" si="39"/>
        <v>0.84</v>
      </c>
      <c r="L102" s="840">
        <f t="shared" si="28"/>
        <v>1.04</v>
      </c>
      <c r="M102" s="1020">
        <f t="shared" si="29"/>
        <v>0</v>
      </c>
      <c r="N102" s="1020">
        <f t="shared" si="48"/>
        <v>0</v>
      </c>
      <c r="O102" s="1020">
        <f t="shared" si="30"/>
        <v>0</v>
      </c>
      <c r="P102" s="1020">
        <f t="shared" si="31"/>
        <v>0</v>
      </c>
      <c r="Q102" s="1020">
        <f t="shared" si="49"/>
        <v>0</v>
      </c>
      <c r="R102" s="1020">
        <v>0.2</v>
      </c>
      <c r="S102" s="1020">
        <f t="shared" si="32"/>
        <v>0</v>
      </c>
      <c r="T102" s="1020">
        <f t="shared" si="40"/>
        <v>0</v>
      </c>
      <c r="U102" s="1020">
        <f t="shared" si="33"/>
        <v>0</v>
      </c>
      <c r="V102" s="1020">
        <f t="shared" si="34"/>
        <v>0</v>
      </c>
      <c r="W102" s="1020">
        <f t="shared" si="41"/>
        <v>0</v>
      </c>
      <c r="X102" s="1020">
        <f t="shared" si="35"/>
        <v>0</v>
      </c>
      <c r="Y102" s="1020">
        <f t="shared" si="36"/>
        <v>0</v>
      </c>
      <c r="Z102" s="842">
        <f t="shared" si="51"/>
        <v>0</v>
      </c>
      <c r="AA102" s="842">
        <f t="shared" si="37"/>
        <v>0</v>
      </c>
      <c r="AB102" s="842">
        <f t="shared" si="37"/>
        <v>0</v>
      </c>
      <c r="AC102" s="842">
        <f t="shared" si="46"/>
        <v>0</v>
      </c>
      <c r="AD102" s="1020">
        <f t="shared" si="43"/>
        <v>0</v>
      </c>
      <c r="AE102" s="1537">
        <f t="shared" si="44"/>
        <v>0</v>
      </c>
    </row>
    <row r="103" spans="1:31" s="1024" customFormat="1" ht="30.75" hidden="1" customHeight="1">
      <c r="A103" s="837"/>
      <c r="B103" s="838"/>
      <c r="C103" s="843"/>
      <c r="D103" s="843"/>
      <c r="E103" s="840"/>
      <c r="F103" s="841"/>
      <c r="G103" s="841" t="s">
        <v>1200</v>
      </c>
      <c r="H103" s="841">
        <f t="shared" si="27"/>
        <v>240</v>
      </c>
      <c r="I103" s="840">
        <f t="shared" si="50"/>
        <v>0.99</v>
      </c>
      <c r="J103" s="840"/>
      <c r="K103" s="840">
        <f t="shared" si="39"/>
        <v>0.84</v>
      </c>
      <c r="L103" s="840">
        <f t="shared" si="28"/>
        <v>1.04</v>
      </c>
      <c r="M103" s="1020">
        <f t="shared" si="29"/>
        <v>0</v>
      </c>
      <c r="N103" s="1020">
        <f t="shared" si="48"/>
        <v>0</v>
      </c>
      <c r="O103" s="1020">
        <f t="shared" si="30"/>
        <v>0</v>
      </c>
      <c r="P103" s="1020">
        <f t="shared" si="31"/>
        <v>0</v>
      </c>
      <c r="Q103" s="1020">
        <f t="shared" si="49"/>
        <v>0</v>
      </c>
      <c r="R103" s="1020">
        <v>0.2</v>
      </c>
      <c r="S103" s="1020">
        <f t="shared" si="32"/>
        <v>0</v>
      </c>
      <c r="T103" s="1020">
        <f t="shared" si="40"/>
        <v>0</v>
      </c>
      <c r="U103" s="1020">
        <f t="shared" si="33"/>
        <v>0</v>
      </c>
      <c r="V103" s="1020">
        <f t="shared" si="34"/>
        <v>0</v>
      </c>
      <c r="W103" s="1020">
        <f t="shared" si="41"/>
        <v>0</v>
      </c>
      <c r="X103" s="1020">
        <f t="shared" si="35"/>
        <v>0</v>
      </c>
      <c r="Y103" s="1020">
        <f t="shared" si="36"/>
        <v>0</v>
      </c>
      <c r="Z103" s="842">
        <f t="shared" si="51"/>
        <v>0</v>
      </c>
      <c r="AA103" s="842">
        <f t="shared" si="37"/>
        <v>0</v>
      </c>
      <c r="AB103" s="842">
        <f t="shared" si="37"/>
        <v>0</v>
      </c>
      <c r="AC103" s="842">
        <f t="shared" si="46"/>
        <v>0</v>
      </c>
      <c r="AD103" s="1020">
        <f t="shared" si="43"/>
        <v>0</v>
      </c>
      <c r="AE103" s="1537">
        <f t="shared" si="44"/>
        <v>0</v>
      </c>
    </row>
    <row r="104" spans="1:31" s="1024" customFormat="1" ht="30.75" hidden="1" customHeight="1">
      <c r="A104" s="837"/>
      <c r="B104" s="838"/>
      <c r="C104" s="843"/>
      <c r="D104" s="843"/>
      <c r="E104" s="840"/>
      <c r="F104" s="841"/>
      <c r="G104" s="841" t="s">
        <v>1200</v>
      </c>
      <c r="H104" s="841">
        <f t="shared" si="27"/>
        <v>240</v>
      </c>
      <c r="I104" s="840">
        <f t="shared" si="50"/>
        <v>0.99</v>
      </c>
      <c r="J104" s="840"/>
      <c r="K104" s="840">
        <f t="shared" si="39"/>
        <v>0.84</v>
      </c>
      <c r="L104" s="840">
        <f t="shared" si="28"/>
        <v>1.04</v>
      </c>
      <c r="M104" s="1020">
        <f t="shared" si="29"/>
        <v>0</v>
      </c>
      <c r="N104" s="1020">
        <f t="shared" si="48"/>
        <v>0</v>
      </c>
      <c r="O104" s="1020">
        <f t="shared" si="30"/>
        <v>0</v>
      </c>
      <c r="P104" s="1020">
        <f t="shared" si="31"/>
        <v>0</v>
      </c>
      <c r="Q104" s="1020">
        <f t="shared" si="49"/>
        <v>0</v>
      </c>
      <c r="R104" s="1020">
        <v>0.2</v>
      </c>
      <c r="S104" s="1020">
        <f t="shared" si="32"/>
        <v>0</v>
      </c>
      <c r="T104" s="1020">
        <f t="shared" si="40"/>
        <v>0</v>
      </c>
      <c r="U104" s="1020">
        <f t="shared" si="33"/>
        <v>0</v>
      </c>
      <c r="V104" s="1020">
        <f t="shared" si="34"/>
        <v>0</v>
      </c>
      <c r="W104" s="1020">
        <f t="shared" si="41"/>
        <v>0</v>
      </c>
      <c r="X104" s="1020">
        <f t="shared" si="35"/>
        <v>0</v>
      </c>
      <c r="Y104" s="1020">
        <f t="shared" si="36"/>
        <v>0</v>
      </c>
      <c r="Z104" s="842">
        <f t="shared" si="51"/>
        <v>0</v>
      </c>
      <c r="AA104" s="842">
        <f t="shared" si="37"/>
        <v>0</v>
      </c>
      <c r="AB104" s="842">
        <f t="shared" si="37"/>
        <v>0</v>
      </c>
      <c r="AC104" s="842">
        <f t="shared" si="46"/>
        <v>0</v>
      </c>
      <c r="AD104" s="1020">
        <f t="shared" si="43"/>
        <v>0</v>
      </c>
      <c r="AE104" s="1537">
        <f t="shared" si="44"/>
        <v>0</v>
      </c>
    </row>
    <row r="105" spans="1:31" s="1024" customFormat="1" ht="30.75" hidden="1" customHeight="1">
      <c r="A105" s="837"/>
      <c r="B105" s="838"/>
      <c r="C105" s="843"/>
      <c r="D105" s="843"/>
      <c r="E105" s="840"/>
      <c r="F105" s="841"/>
      <c r="G105" s="841" t="s">
        <v>1200</v>
      </c>
      <c r="H105" s="841">
        <f t="shared" si="27"/>
        <v>240</v>
      </c>
      <c r="I105" s="840">
        <f t="shared" si="50"/>
        <v>0.99</v>
      </c>
      <c r="J105" s="840"/>
      <c r="K105" s="840">
        <f t="shared" si="39"/>
        <v>0.84</v>
      </c>
      <c r="L105" s="840">
        <f t="shared" si="28"/>
        <v>1.04</v>
      </c>
      <c r="M105" s="1020">
        <f t="shared" si="29"/>
        <v>0</v>
      </c>
      <c r="N105" s="1020">
        <f t="shared" si="48"/>
        <v>0</v>
      </c>
      <c r="O105" s="1020">
        <f t="shared" si="30"/>
        <v>0</v>
      </c>
      <c r="P105" s="1020">
        <f t="shared" si="31"/>
        <v>0</v>
      </c>
      <c r="Q105" s="1020">
        <f t="shared" si="49"/>
        <v>0</v>
      </c>
      <c r="R105" s="1020">
        <v>0.2</v>
      </c>
      <c r="S105" s="1020">
        <f t="shared" si="32"/>
        <v>0</v>
      </c>
      <c r="T105" s="1020">
        <f t="shared" si="40"/>
        <v>0</v>
      </c>
      <c r="U105" s="1020">
        <f t="shared" si="33"/>
        <v>0</v>
      </c>
      <c r="V105" s="1020">
        <f t="shared" si="34"/>
        <v>0</v>
      </c>
      <c r="W105" s="1020">
        <f t="shared" si="41"/>
        <v>0</v>
      </c>
      <c r="X105" s="1020">
        <f t="shared" si="35"/>
        <v>0</v>
      </c>
      <c r="Y105" s="1020">
        <f t="shared" si="36"/>
        <v>0</v>
      </c>
      <c r="Z105" s="842">
        <f t="shared" si="51"/>
        <v>0</v>
      </c>
      <c r="AA105" s="842">
        <f t="shared" si="37"/>
        <v>0</v>
      </c>
      <c r="AB105" s="842">
        <f t="shared" si="37"/>
        <v>0</v>
      </c>
      <c r="AC105" s="842">
        <f t="shared" si="46"/>
        <v>0</v>
      </c>
      <c r="AD105" s="1020">
        <f t="shared" si="43"/>
        <v>0</v>
      </c>
      <c r="AE105" s="1537">
        <f t="shared" si="44"/>
        <v>0</v>
      </c>
    </row>
    <row r="106" spans="1:31" s="1024" customFormat="1" ht="30.75" hidden="1" customHeight="1">
      <c r="A106" s="2064"/>
      <c r="B106" s="2065"/>
      <c r="C106" s="843"/>
      <c r="D106" s="843"/>
      <c r="E106" s="840"/>
      <c r="F106" s="841"/>
      <c r="G106" s="841" t="s">
        <v>1200</v>
      </c>
      <c r="H106" s="841">
        <f t="shared" si="27"/>
        <v>240</v>
      </c>
      <c r="I106" s="840">
        <f t="shared" si="50"/>
        <v>0.99</v>
      </c>
      <c r="J106" s="840"/>
      <c r="K106" s="840">
        <f t="shared" si="39"/>
        <v>0.84</v>
      </c>
      <c r="L106" s="840">
        <f t="shared" si="28"/>
        <v>1.04</v>
      </c>
      <c r="M106" s="1020">
        <f t="shared" si="29"/>
        <v>0</v>
      </c>
      <c r="N106" s="1020">
        <f t="shared" si="48"/>
        <v>0</v>
      </c>
      <c r="O106" s="1020">
        <f t="shared" si="30"/>
        <v>0</v>
      </c>
      <c r="P106" s="1020">
        <f t="shared" si="31"/>
        <v>0</v>
      </c>
      <c r="Q106" s="1020">
        <f t="shared" si="49"/>
        <v>0</v>
      </c>
      <c r="R106" s="1020">
        <v>0.2</v>
      </c>
      <c r="S106" s="1020">
        <f t="shared" si="32"/>
        <v>0</v>
      </c>
      <c r="T106" s="1020">
        <f t="shared" si="40"/>
        <v>0</v>
      </c>
      <c r="U106" s="1020">
        <f t="shared" si="33"/>
        <v>0</v>
      </c>
      <c r="V106" s="1020">
        <f t="shared" si="34"/>
        <v>0</v>
      </c>
      <c r="W106" s="1020">
        <f t="shared" si="41"/>
        <v>0</v>
      </c>
      <c r="X106" s="1020">
        <f t="shared" si="35"/>
        <v>0</v>
      </c>
      <c r="Y106" s="1020">
        <f t="shared" si="36"/>
        <v>0</v>
      </c>
      <c r="Z106" s="842">
        <f t="shared" si="51"/>
        <v>0</v>
      </c>
      <c r="AA106" s="842">
        <f t="shared" si="37"/>
        <v>0</v>
      </c>
      <c r="AB106" s="842">
        <f t="shared" si="37"/>
        <v>0</v>
      </c>
      <c r="AC106" s="842">
        <f t="shared" si="46"/>
        <v>0</v>
      </c>
      <c r="AD106" s="1020">
        <f t="shared" si="43"/>
        <v>0</v>
      </c>
      <c r="AE106" s="1537">
        <f t="shared" si="44"/>
        <v>0</v>
      </c>
    </row>
    <row r="107" spans="1:31" s="1024" customFormat="1" ht="30.75" hidden="1" customHeight="1">
      <c r="A107" s="2064"/>
      <c r="B107" s="2065"/>
      <c r="C107" s="843"/>
      <c r="D107" s="843"/>
      <c r="E107" s="840"/>
      <c r="F107" s="841"/>
      <c r="G107" s="841" t="s">
        <v>1200</v>
      </c>
      <c r="H107" s="841">
        <f t="shared" si="27"/>
        <v>240</v>
      </c>
      <c r="I107" s="840">
        <f t="shared" si="50"/>
        <v>0.99</v>
      </c>
      <c r="J107" s="840"/>
      <c r="K107" s="840">
        <f t="shared" si="39"/>
        <v>0.84</v>
      </c>
      <c r="L107" s="840">
        <f t="shared" si="28"/>
        <v>1.04</v>
      </c>
      <c r="M107" s="1020">
        <f t="shared" si="29"/>
        <v>0</v>
      </c>
      <c r="N107" s="1020">
        <f t="shared" si="48"/>
        <v>0</v>
      </c>
      <c r="O107" s="1020">
        <f t="shared" si="30"/>
        <v>0</v>
      </c>
      <c r="P107" s="1020">
        <f t="shared" si="31"/>
        <v>0</v>
      </c>
      <c r="Q107" s="1020">
        <f t="shared" si="49"/>
        <v>0</v>
      </c>
      <c r="R107" s="1020">
        <v>0.2</v>
      </c>
      <c r="S107" s="1020">
        <f t="shared" si="32"/>
        <v>0</v>
      </c>
      <c r="T107" s="1020">
        <f t="shared" si="40"/>
        <v>0</v>
      </c>
      <c r="U107" s="1020">
        <f t="shared" si="33"/>
        <v>0</v>
      </c>
      <c r="V107" s="1020">
        <f t="shared" si="34"/>
        <v>0</v>
      </c>
      <c r="W107" s="1020">
        <f t="shared" si="41"/>
        <v>0</v>
      </c>
      <c r="X107" s="1020">
        <f t="shared" si="35"/>
        <v>0</v>
      </c>
      <c r="Y107" s="1020">
        <f t="shared" si="36"/>
        <v>0</v>
      </c>
      <c r="Z107" s="842">
        <f t="shared" si="51"/>
        <v>0</v>
      </c>
      <c r="AA107" s="842">
        <f t="shared" si="37"/>
        <v>0</v>
      </c>
      <c r="AB107" s="842">
        <f t="shared" si="37"/>
        <v>0</v>
      </c>
      <c r="AC107" s="842">
        <f t="shared" si="46"/>
        <v>0</v>
      </c>
      <c r="AD107" s="1020">
        <f t="shared" si="43"/>
        <v>0</v>
      </c>
      <c r="AE107" s="1537">
        <f t="shared" si="44"/>
        <v>0</v>
      </c>
    </row>
    <row r="108" spans="1:31" s="1024" customFormat="1" ht="30.75" hidden="1" customHeight="1">
      <c r="A108" s="2064"/>
      <c r="B108" s="2065"/>
      <c r="C108" s="843"/>
      <c r="D108" s="843"/>
      <c r="E108" s="840"/>
      <c r="F108" s="841"/>
      <c r="G108" s="841" t="s">
        <v>1200</v>
      </c>
      <c r="H108" s="841">
        <f t="shared" si="27"/>
        <v>240</v>
      </c>
      <c r="I108" s="840">
        <f t="shared" si="50"/>
        <v>0.99</v>
      </c>
      <c r="J108" s="840"/>
      <c r="K108" s="840">
        <f t="shared" si="39"/>
        <v>0.84</v>
      </c>
      <c r="L108" s="840">
        <f t="shared" si="28"/>
        <v>1.04</v>
      </c>
      <c r="M108" s="1020">
        <f t="shared" si="29"/>
        <v>0</v>
      </c>
      <c r="N108" s="1020">
        <f t="shared" si="48"/>
        <v>0</v>
      </c>
      <c r="O108" s="1020">
        <f t="shared" si="30"/>
        <v>0</v>
      </c>
      <c r="P108" s="1020">
        <f t="shared" si="31"/>
        <v>0</v>
      </c>
      <c r="Q108" s="1020">
        <f t="shared" si="49"/>
        <v>0</v>
      </c>
      <c r="R108" s="1020">
        <v>0.2</v>
      </c>
      <c r="S108" s="1020">
        <f t="shared" si="32"/>
        <v>0</v>
      </c>
      <c r="T108" s="1020">
        <f t="shared" si="40"/>
        <v>0</v>
      </c>
      <c r="U108" s="1020">
        <f t="shared" si="33"/>
        <v>0</v>
      </c>
      <c r="V108" s="1020">
        <f t="shared" si="34"/>
        <v>0</v>
      </c>
      <c r="W108" s="1020">
        <f t="shared" si="41"/>
        <v>0</v>
      </c>
      <c r="X108" s="1020">
        <f t="shared" si="35"/>
        <v>0</v>
      </c>
      <c r="Y108" s="1020">
        <f t="shared" si="36"/>
        <v>0</v>
      </c>
      <c r="Z108" s="842">
        <f t="shared" si="51"/>
        <v>0</v>
      </c>
      <c r="AA108" s="842">
        <f t="shared" si="37"/>
        <v>0</v>
      </c>
      <c r="AB108" s="842">
        <f t="shared" si="37"/>
        <v>0</v>
      </c>
      <c r="AC108" s="842">
        <f t="shared" si="46"/>
        <v>0</v>
      </c>
      <c r="AD108" s="1020">
        <f t="shared" si="43"/>
        <v>0</v>
      </c>
      <c r="AE108" s="1537">
        <f t="shared" si="44"/>
        <v>0</v>
      </c>
    </row>
    <row r="109" spans="1:31" s="1024" customFormat="1" ht="30.75" hidden="1" customHeight="1">
      <c r="A109" s="2064"/>
      <c r="B109" s="2065"/>
      <c r="C109" s="843"/>
      <c r="D109" s="843"/>
      <c r="E109" s="840"/>
      <c r="F109" s="841"/>
      <c r="G109" s="841" t="s">
        <v>1200</v>
      </c>
      <c r="H109" s="841">
        <f t="shared" si="27"/>
        <v>240</v>
      </c>
      <c r="I109" s="840">
        <f t="shared" si="50"/>
        <v>0.99</v>
      </c>
      <c r="J109" s="840"/>
      <c r="K109" s="840">
        <f t="shared" si="39"/>
        <v>0.84</v>
      </c>
      <c r="L109" s="840">
        <f t="shared" si="28"/>
        <v>1.04</v>
      </c>
      <c r="M109" s="1020">
        <f t="shared" si="29"/>
        <v>0</v>
      </c>
      <c r="N109" s="1020">
        <f t="shared" si="48"/>
        <v>0</v>
      </c>
      <c r="O109" s="1020">
        <f t="shared" si="30"/>
        <v>0</v>
      </c>
      <c r="P109" s="1020">
        <f t="shared" si="31"/>
        <v>0</v>
      </c>
      <c r="Q109" s="1020">
        <f t="shared" si="49"/>
        <v>0</v>
      </c>
      <c r="R109" s="1020">
        <v>0.2</v>
      </c>
      <c r="S109" s="1020">
        <f t="shared" si="32"/>
        <v>0</v>
      </c>
      <c r="T109" s="1020">
        <f t="shared" si="40"/>
        <v>0</v>
      </c>
      <c r="U109" s="1020">
        <f t="shared" si="33"/>
        <v>0</v>
      </c>
      <c r="V109" s="1020">
        <f t="shared" si="34"/>
        <v>0</v>
      </c>
      <c r="W109" s="1020">
        <f t="shared" si="41"/>
        <v>0</v>
      </c>
      <c r="X109" s="1020">
        <f t="shared" si="35"/>
        <v>0</v>
      </c>
      <c r="Y109" s="1020">
        <f t="shared" si="36"/>
        <v>0</v>
      </c>
      <c r="Z109" s="842">
        <f t="shared" si="51"/>
        <v>0</v>
      </c>
      <c r="AA109" s="842">
        <f t="shared" si="37"/>
        <v>0</v>
      </c>
      <c r="AB109" s="842">
        <f t="shared" si="37"/>
        <v>0</v>
      </c>
      <c r="AC109" s="842">
        <f t="shared" si="46"/>
        <v>0</v>
      </c>
      <c r="AD109" s="1020">
        <f t="shared" si="43"/>
        <v>0</v>
      </c>
      <c r="AE109" s="1537">
        <f t="shared" si="44"/>
        <v>0</v>
      </c>
    </row>
    <row r="110" spans="1:31" s="1024" customFormat="1" ht="30.75" hidden="1" customHeight="1">
      <c r="A110" s="2064"/>
      <c r="B110" s="2065"/>
      <c r="C110" s="843"/>
      <c r="D110" s="843"/>
      <c r="E110" s="840"/>
      <c r="F110" s="841"/>
      <c r="G110" s="841" t="s">
        <v>1200</v>
      </c>
      <c r="H110" s="841">
        <f t="shared" si="27"/>
        <v>240</v>
      </c>
      <c r="I110" s="840">
        <f t="shared" si="50"/>
        <v>0.99</v>
      </c>
      <c r="J110" s="840"/>
      <c r="K110" s="840">
        <f t="shared" si="39"/>
        <v>0.84</v>
      </c>
      <c r="L110" s="840">
        <f t="shared" si="28"/>
        <v>1.04</v>
      </c>
      <c r="M110" s="1020">
        <f t="shared" si="29"/>
        <v>0</v>
      </c>
      <c r="N110" s="1020">
        <f t="shared" si="48"/>
        <v>0</v>
      </c>
      <c r="O110" s="1020">
        <f t="shared" si="30"/>
        <v>0</v>
      </c>
      <c r="P110" s="1020">
        <f t="shared" si="31"/>
        <v>0</v>
      </c>
      <c r="Q110" s="1020">
        <f t="shared" si="49"/>
        <v>0</v>
      </c>
      <c r="R110" s="1020">
        <v>0.2</v>
      </c>
      <c r="S110" s="1020">
        <f t="shared" si="32"/>
        <v>0</v>
      </c>
      <c r="T110" s="1020">
        <f t="shared" si="40"/>
        <v>0</v>
      </c>
      <c r="U110" s="1020">
        <f t="shared" si="33"/>
        <v>0</v>
      </c>
      <c r="V110" s="1020">
        <f t="shared" si="34"/>
        <v>0</v>
      </c>
      <c r="W110" s="1020">
        <f t="shared" si="41"/>
        <v>0</v>
      </c>
      <c r="X110" s="1020">
        <f t="shared" si="35"/>
        <v>0</v>
      </c>
      <c r="Y110" s="1020">
        <f t="shared" si="36"/>
        <v>0</v>
      </c>
      <c r="Z110" s="842">
        <f t="shared" si="51"/>
        <v>0</v>
      </c>
      <c r="AA110" s="842">
        <f t="shared" si="37"/>
        <v>0</v>
      </c>
      <c r="AB110" s="842">
        <f t="shared" si="37"/>
        <v>0</v>
      </c>
      <c r="AC110" s="842">
        <f t="shared" si="46"/>
        <v>0</v>
      </c>
      <c r="AD110" s="1020">
        <f t="shared" si="43"/>
        <v>0</v>
      </c>
      <c r="AE110" s="1537">
        <f t="shared" si="44"/>
        <v>0</v>
      </c>
    </row>
    <row r="111" spans="1:31" s="1024" customFormat="1" ht="30.75" hidden="1" customHeight="1">
      <c r="A111" s="2064"/>
      <c r="B111" s="2065"/>
      <c r="C111" s="843"/>
      <c r="D111" s="843"/>
      <c r="E111" s="840"/>
      <c r="F111" s="841"/>
      <c r="G111" s="841" t="s">
        <v>1200</v>
      </c>
      <c r="H111" s="841">
        <f t="shared" si="27"/>
        <v>240</v>
      </c>
      <c r="I111" s="840">
        <f t="shared" si="50"/>
        <v>0.99</v>
      </c>
      <c r="J111" s="840"/>
      <c r="K111" s="840">
        <f t="shared" si="39"/>
        <v>0.84</v>
      </c>
      <c r="L111" s="840">
        <f t="shared" si="28"/>
        <v>1.04</v>
      </c>
      <c r="M111" s="1020">
        <f t="shared" si="29"/>
        <v>0</v>
      </c>
      <c r="N111" s="1020">
        <f t="shared" si="48"/>
        <v>0</v>
      </c>
      <c r="O111" s="1020">
        <f t="shared" si="30"/>
        <v>0</v>
      </c>
      <c r="P111" s="1020">
        <f t="shared" si="31"/>
        <v>0</v>
      </c>
      <c r="Q111" s="1020">
        <f t="shared" si="49"/>
        <v>0</v>
      </c>
      <c r="R111" s="1020">
        <v>0.2</v>
      </c>
      <c r="S111" s="1020">
        <f t="shared" si="32"/>
        <v>0</v>
      </c>
      <c r="T111" s="1020">
        <f t="shared" si="40"/>
        <v>0</v>
      </c>
      <c r="U111" s="1020">
        <f t="shared" si="33"/>
        <v>0</v>
      </c>
      <c r="V111" s="1020">
        <f t="shared" si="34"/>
        <v>0</v>
      </c>
      <c r="W111" s="1020">
        <f t="shared" si="41"/>
        <v>0</v>
      </c>
      <c r="X111" s="1020">
        <f t="shared" si="35"/>
        <v>0</v>
      </c>
      <c r="Y111" s="1020">
        <f t="shared" si="36"/>
        <v>0</v>
      </c>
      <c r="Z111" s="842">
        <f t="shared" si="51"/>
        <v>0</v>
      </c>
      <c r="AA111" s="842">
        <f t="shared" si="37"/>
        <v>0</v>
      </c>
      <c r="AB111" s="842">
        <f t="shared" si="37"/>
        <v>0</v>
      </c>
      <c r="AC111" s="842">
        <f t="shared" si="46"/>
        <v>0</v>
      </c>
      <c r="AD111" s="1020">
        <f t="shared" si="43"/>
        <v>0</v>
      </c>
      <c r="AE111" s="1537">
        <f t="shared" si="44"/>
        <v>0</v>
      </c>
    </row>
    <row r="112" spans="1:31" s="1024" customFormat="1" ht="30.75" hidden="1" customHeight="1">
      <c r="A112" s="2064"/>
      <c r="B112" s="2065"/>
      <c r="C112" s="843"/>
      <c r="D112" s="843"/>
      <c r="E112" s="840"/>
      <c r="F112" s="841"/>
      <c r="G112" s="841" t="s">
        <v>1200</v>
      </c>
      <c r="H112" s="841">
        <f t="shared" si="27"/>
        <v>240</v>
      </c>
      <c r="I112" s="840">
        <f t="shared" si="50"/>
        <v>0.99</v>
      </c>
      <c r="J112" s="840"/>
      <c r="K112" s="840">
        <f t="shared" si="39"/>
        <v>0.84</v>
      </c>
      <c r="L112" s="840">
        <f t="shared" si="28"/>
        <v>1.04</v>
      </c>
      <c r="M112" s="1020">
        <f t="shared" si="29"/>
        <v>0</v>
      </c>
      <c r="N112" s="1020">
        <f t="shared" si="48"/>
        <v>0</v>
      </c>
      <c r="O112" s="1020">
        <f t="shared" si="30"/>
        <v>0</v>
      </c>
      <c r="P112" s="1020">
        <f t="shared" si="31"/>
        <v>0</v>
      </c>
      <c r="Q112" s="1020">
        <f t="shared" si="49"/>
        <v>0</v>
      </c>
      <c r="R112" s="1020">
        <v>0.2</v>
      </c>
      <c r="S112" s="1020">
        <f t="shared" si="32"/>
        <v>0</v>
      </c>
      <c r="T112" s="1020">
        <f t="shared" si="40"/>
        <v>0</v>
      </c>
      <c r="U112" s="1020">
        <f t="shared" si="33"/>
        <v>0</v>
      </c>
      <c r="V112" s="1020">
        <f t="shared" si="34"/>
        <v>0</v>
      </c>
      <c r="W112" s="1020">
        <f t="shared" si="41"/>
        <v>0</v>
      </c>
      <c r="X112" s="1020">
        <f t="shared" si="35"/>
        <v>0</v>
      </c>
      <c r="Y112" s="1020">
        <f t="shared" si="36"/>
        <v>0</v>
      </c>
      <c r="Z112" s="842">
        <f t="shared" si="51"/>
        <v>0</v>
      </c>
      <c r="AA112" s="842">
        <f t="shared" si="37"/>
        <v>0</v>
      </c>
      <c r="AB112" s="842">
        <f t="shared" si="37"/>
        <v>0</v>
      </c>
      <c r="AC112" s="842">
        <f t="shared" si="46"/>
        <v>0</v>
      </c>
      <c r="AD112" s="1020">
        <f t="shared" si="43"/>
        <v>0</v>
      </c>
      <c r="AE112" s="1537">
        <f t="shared" si="44"/>
        <v>0</v>
      </c>
    </row>
    <row r="113" spans="1:31" s="1024" customFormat="1" ht="30.75" hidden="1" customHeight="1">
      <c r="A113" s="2064"/>
      <c r="B113" s="2065"/>
      <c r="C113" s="843"/>
      <c r="D113" s="843"/>
      <c r="E113" s="840"/>
      <c r="F113" s="841"/>
      <c r="G113" s="841" t="s">
        <v>1200</v>
      </c>
      <c r="H113" s="841">
        <f t="shared" si="27"/>
        <v>240</v>
      </c>
      <c r="I113" s="840">
        <f t="shared" si="50"/>
        <v>0.99</v>
      </c>
      <c r="J113" s="840"/>
      <c r="K113" s="840">
        <f t="shared" si="39"/>
        <v>0.84</v>
      </c>
      <c r="L113" s="840">
        <f t="shared" si="28"/>
        <v>1.04</v>
      </c>
      <c r="M113" s="1020">
        <f t="shared" si="29"/>
        <v>0</v>
      </c>
      <c r="N113" s="1020">
        <f t="shared" si="48"/>
        <v>0</v>
      </c>
      <c r="O113" s="1020">
        <f t="shared" si="30"/>
        <v>0</v>
      </c>
      <c r="P113" s="1020">
        <f t="shared" si="31"/>
        <v>0</v>
      </c>
      <c r="Q113" s="1020">
        <f t="shared" si="49"/>
        <v>0</v>
      </c>
      <c r="R113" s="1020">
        <v>0.2</v>
      </c>
      <c r="S113" s="1020">
        <f t="shared" si="32"/>
        <v>0</v>
      </c>
      <c r="T113" s="1020">
        <f t="shared" si="40"/>
        <v>0</v>
      </c>
      <c r="U113" s="1020">
        <f t="shared" si="33"/>
        <v>0</v>
      </c>
      <c r="V113" s="1020">
        <f t="shared" si="34"/>
        <v>0</v>
      </c>
      <c r="W113" s="1020">
        <f t="shared" si="41"/>
        <v>0</v>
      </c>
      <c r="X113" s="1020">
        <f t="shared" si="35"/>
        <v>0</v>
      </c>
      <c r="Y113" s="1020">
        <f t="shared" si="36"/>
        <v>0</v>
      </c>
      <c r="Z113" s="842">
        <f t="shared" si="51"/>
        <v>0</v>
      </c>
      <c r="AA113" s="842">
        <f t="shared" si="37"/>
        <v>0</v>
      </c>
      <c r="AB113" s="842">
        <f t="shared" si="37"/>
        <v>0</v>
      </c>
      <c r="AC113" s="842">
        <f t="shared" si="46"/>
        <v>0</v>
      </c>
      <c r="AD113" s="1020">
        <f t="shared" si="43"/>
        <v>0</v>
      </c>
      <c r="AE113" s="1537">
        <f t="shared" si="44"/>
        <v>0</v>
      </c>
    </row>
    <row r="114" spans="1:31" s="1024" customFormat="1" ht="30.75" hidden="1" customHeight="1">
      <c r="A114" s="2064"/>
      <c r="B114" s="2065"/>
      <c r="C114" s="843"/>
      <c r="D114" s="843"/>
      <c r="E114" s="840"/>
      <c r="F114" s="841"/>
      <c r="G114" s="841" t="s">
        <v>1200</v>
      </c>
      <c r="H114" s="841">
        <f t="shared" si="27"/>
        <v>240</v>
      </c>
      <c r="I114" s="840">
        <f t="shared" si="50"/>
        <v>0.99</v>
      </c>
      <c r="J114" s="840"/>
      <c r="K114" s="840">
        <f t="shared" si="39"/>
        <v>0.84</v>
      </c>
      <c r="L114" s="840">
        <f t="shared" si="28"/>
        <v>1.04</v>
      </c>
      <c r="M114" s="1020">
        <f t="shared" si="29"/>
        <v>0</v>
      </c>
      <c r="N114" s="1020">
        <f t="shared" si="48"/>
        <v>0</v>
      </c>
      <c r="O114" s="1020">
        <f t="shared" si="30"/>
        <v>0</v>
      </c>
      <c r="P114" s="1020">
        <f t="shared" si="31"/>
        <v>0</v>
      </c>
      <c r="Q114" s="1020">
        <f t="shared" si="49"/>
        <v>0</v>
      </c>
      <c r="R114" s="1020">
        <v>0.2</v>
      </c>
      <c r="S114" s="1020">
        <f t="shared" si="32"/>
        <v>0</v>
      </c>
      <c r="T114" s="1020">
        <f t="shared" si="40"/>
        <v>0</v>
      </c>
      <c r="U114" s="1020">
        <f t="shared" si="33"/>
        <v>0</v>
      </c>
      <c r="V114" s="1020">
        <f t="shared" si="34"/>
        <v>0</v>
      </c>
      <c r="W114" s="1020">
        <f t="shared" si="41"/>
        <v>0</v>
      </c>
      <c r="X114" s="1020">
        <f t="shared" si="35"/>
        <v>0</v>
      </c>
      <c r="Y114" s="1020">
        <f t="shared" si="36"/>
        <v>0</v>
      </c>
      <c r="Z114" s="842">
        <f t="shared" si="51"/>
        <v>0</v>
      </c>
      <c r="AA114" s="842">
        <f t="shared" si="37"/>
        <v>0</v>
      </c>
      <c r="AB114" s="842">
        <f t="shared" si="37"/>
        <v>0</v>
      </c>
      <c r="AC114" s="842">
        <f t="shared" si="46"/>
        <v>0</v>
      </c>
      <c r="AD114" s="1020">
        <f t="shared" si="43"/>
        <v>0</v>
      </c>
      <c r="AE114" s="1537">
        <f t="shared" si="44"/>
        <v>0</v>
      </c>
    </row>
    <row r="115" spans="1:31" s="1024" customFormat="1" ht="30.75" hidden="1" customHeight="1">
      <c r="A115" s="2064"/>
      <c r="B115" s="2065"/>
      <c r="C115" s="843"/>
      <c r="D115" s="843"/>
      <c r="E115" s="840"/>
      <c r="F115" s="841"/>
      <c r="G115" s="841" t="s">
        <v>1200</v>
      </c>
      <c r="H115" s="841">
        <f t="shared" si="27"/>
        <v>240</v>
      </c>
      <c r="I115" s="840">
        <f t="shared" si="50"/>
        <v>0.99</v>
      </c>
      <c r="J115" s="840"/>
      <c r="K115" s="840">
        <f t="shared" si="39"/>
        <v>0.84</v>
      </c>
      <c r="L115" s="840">
        <f t="shared" si="28"/>
        <v>1.04</v>
      </c>
      <c r="M115" s="1020">
        <f t="shared" si="29"/>
        <v>0</v>
      </c>
      <c r="N115" s="1020">
        <f t="shared" si="48"/>
        <v>0</v>
      </c>
      <c r="O115" s="1020">
        <f t="shared" si="30"/>
        <v>0</v>
      </c>
      <c r="P115" s="1020">
        <f t="shared" si="31"/>
        <v>0</v>
      </c>
      <c r="Q115" s="1020">
        <f t="shared" si="49"/>
        <v>0</v>
      </c>
      <c r="R115" s="1020">
        <v>0.2</v>
      </c>
      <c r="S115" s="1020">
        <f t="shared" si="32"/>
        <v>0</v>
      </c>
      <c r="T115" s="1020">
        <f t="shared" si="40"/>
        <v>0</v>
      </c>
      <c r="U115" s="1020">
        <f t="shared" si="33"/>
        <v>0</v>
      </c>
      <c r="V115" s="1020">
        <f t="shared" si="34"/>
        <v>0</v>
      </c>
      <c r="W115" s="1020">
        <f t="shared" si="41"/>
        <v>0</v>
      </c>
      <c r="X115" s="1020">
        <f t="shared" si="35"/>
        <v>0</v>
      </c>
      <c r="Y115" s="1020">
        <f t="shared" si="36"/>
        <v>0</v>
      </c>
      <c r="Z115" s="842">
        <f t="shared" si="51"/>
        <v>0</v>
      </c>
      <c r="AA115" s="842">
        <f t="shared" si="37"/>
        <v>0</v>
      </c>
      <c r="AB115" s="842">
        <f t="shared" si="37"/>
        <v>0</v>
      </c>
      <c r="AC115" s="842">
        <f t="shared" si="46"/>
        <v>0</v>
      </c>
      <c r="AD115" s="1020">
        <f t="shared" si="43"/>
        <v>0</v>
      </c>
      <c r="AE115" s="1537">
        <f t="shared" si="44"/>
        <v>0</v>
      </c>
    </row>
    <row r="116" spans="1:31" s="1024" customFormat="1" ht="30.75" hidden="1" customHeight="1">
      <c r="A116" s="2064"/>
      <c r="B116" s="2065"/>
      <c r="C116" s="843"/>
      <c r="D116" s="843"/>
      <c r="E116" s="840"/>
      <c r="F116" s="841"/>
      <c r="G116" s="841" t="s">
        <v>1200</v>
      </c>
      <c r="H116" s="841">
        <f t="shared" si="27"/>
        <v>240</v>
      </c>
      <c r="I116" s="840">
        <f t="shared" si="50"/>
        <v>0.99</v>
      </c>
      <c r="J116" s="840"/>
      <c r="K116" s="840">
        <f t="shared" si="39"/>
        <v>0.84</v>
      </c>
      <c r="L116" s="840">
        <f t="shared" si="28"/>
        <v>1.04</v>
      </c>
      <c r="M116" s="1020">
        <f t="shared" si="29"/>
        <v>0</v>
      </c>
      <c r="N116" s="1020">
        <f t="shared" si="48"/>
        <v>0</v>
      </c>
      <c r="O116" s="1020">
        <f t="shared" si="30"/>
        <v>0</v>
      </c>
      <c r="P116" s="1020">
        <f t="shared" si="31"/>
        <v>0</v>
      </c>
      <c r="Q116" s="1020">
        <f t="shared" si="49"/>
        <v>0</v>
      </c>
      <c r="R116" s="1020">
        <v>0.2</v>
      </c>
      <c r="S116" s="1020">
        <f t="shared" si="32"/>
        <v>0</v>
      </c>
      <c r="T116" s="1020">
        <f t="shared" si="40"/>
        <v>0</v>
      </c>
      <c r="U116" s="1020">
        <f t="shared" si="33"/>
        <v>0</v>
      </c>
      <c r="V116" s="1020">
        <f t="shared" si="34"/>
        <v>0</v>
      </c>
      <c r="W116" s="1020">
        <f t="shared" si="41"/>
        <v>0</v>
      </c>
      <c r="X116" s="1020">
        <f t="shared" si="35"/>
        <v>0</v>
      </c>
      <c r="Y116" s="1020">
        <f t="shared" si="36"/>
        <v>0</v>
      </c>
      <c r="Z116" s="842">
        <f t="shared" si="51"/>
        <v>0</v>
      </c>
      <c r="AA116" s="842">
        <f t="shared" si="37"/>
        <v>0</v>
      </c>
      <c r="AB116" s="842">
        <f t="shared" si="37"/>
        <v>0</v>
      </c>
      <c r="AC116" s="842">
        <f t="shared" si="46"/>
        <v>0</v>
      </c>
      <c r="AD116" s="1020">
        <f t="shared" si="43"/>
        <v>0</v>
      </c>
      <c r="AE116" s="1537">
        <f t="shared" si="44"/>
        <v>0</v>
      </c>
    </row>
    <row r="117" spans="1:31" s="1024" customFormat="1" ht="30.75" hidden="1" customHeight="1">
      <c r="A117" s="2064"/>
      <c r="B117" s="2065"/>
      <c r="C117" s="843"/>
      <c r="D117" s="843"/>
      <c r="E117" s="840"/>
      <c r="F117" s="841"/>
      <c r="G117" s="841" t="s">
        <v>1200</v>
      </c>
      <c r="H117" s="841">
        <f t="shared" si="27"/>
        <v>240</v>
      </c>
      <c r="I117" s="840">
        <f t="shared" si="50"/>
        <v>0.99</v>
      </c>
      <c r="J117" s="840"/>
      <c r="K117" s="840">
        <f t="shared" si="39"/>
        <v>0.84</v>
      </c>
      <c r="L117" s="840">
        <f t="shared" si="28"/>
        <v>1.04</v>
      </c>
      <c r="M117" s="1020">
        <f t="shared" si="29"/>
        <v>0</v>
      </c>
      <c r="N117" s="1020">
        <f t="shared" si="48"/>
        <v>0</v>
      </c>
      <c r="O117" s="1020">
        <f t="shared" si="30"/>
        <v>0</v>
      </c>
      <c r="P117" s="1020">
        <f t="shared" si="31"/>
        <v>0</v>
      </c>
      <c r="Q117" s="1020">
        <f t="shared" si="49"/>
        <v>0</v>
      </c>
      <c r="R117" s="1020">
        <v>0.2</v>
      </c>
      <c r="S117" s="1020">
        <f t="shared" si="32"/>
        <v>0</v>
      </c>
      <c r="T117" s="1020">
        <f t="shared" si="40"/>
        <v>0</v>
      </c>
      <c r="U117" s="1020">
        <f t="shared" si="33"/>
        <v>0</v>
      </c>
      <c r="V117" s="1020">
        <f t="shared" si="34"/>
        <v>0</v>
      </c>
      <c r="W117" s="1020">
        <f t="shared" si="41"/>
        <v>0</v>
      </c>
      <c r="X117" s="1020">
        <f t="shared" si="35"/>
        <v>0</v>
      </c>
      <c r="Y117" s="1020">
        <f t="shared" si="36"/>
        <v>0</v>
      </c>
      <c r="Z117" s="842">
        <f t="shared" si="51"/>
        <v>0</v>
      </c>
      <c r="AA117" s="842">
        <f t="shared" si="37"/>
        <v>0</v>
      </c>
      <c r="AB117" s="842">
        <f t="shared" si="37"/>
        <v>0</v>
      </c>
      <c r="AC117" s="842">
        <f t="shared" si="46"/>
        <v>0</v>
      </c>
      <c r="AD117" s="1020">
        <f t="shared" si="43"/>
        <v>0</v>
      </c>
      <c r="AE117" s="1537">
        <f t="shared" si="44"/>
        <v>0</v>
      </c>
    </row>
    <row r="118" spans="1:31" s="1024" customFormat="1" ht="30.75" hidden="1" customHeight="1">
      <c r="A118" s="2064"/>
      <c r="B118" s="2065"/>
      <c r="C118" s="843"/>
      <c r="D118" s="843"/>
      <c r="E118" s="840"/>
      <c r="F118" s="841"/>
      <c r="G118" s="841" t="s">
        <v>1200</v>
      </c>
      <c r="H118" s="841">
        <f t="shared" si="27"/>
        <v>240</v>
      </c>
      <c r="I118" s="840">
        <f t="shared" si="50"/>
        <v>0.99</v>
      </c>
      <c r="J118" s="840"/>
      <c r="K118" s="840">
        <f t="shared" si="39"/>
        <v>0.84</v>
      </c>
      <c r="L118" s="840">
        <f t="shared" si="28"/>
        <v>1.04</v>
      </c>
      <c r="M118" s="1020">
        <f t="shared" si="29"/>
        <v>0</v>
      </c>
      <c r="N118" s="1020">
        <f t="shared" si="48"/>
        <v>0</v>
      </c>
      <c r="O118" s="1020">
        <f t="shared" si="30"/>
        <v>0</v>
      </c>
      <c r="P118" s="1020">
        <f t="shared" si="31"/>
        <v>0</v>
      </c>
      <c r="Q118" s="1020">
        <f t="shared" si="49"/>
        <v>0</v>
      </c>
      <c r="R118" s="1020">
        <v>0.2</v>
      </c>
      <c r="S118" s="1020">
        <f t="shared" si="32"/>
        <v>0</v>
      </c>
      <c r="T118" s="1020">
        <f t="shared" si="40"/>
        <v>0</v>
      </c>
      <c r="U118" s="1020">
        <f t="shared" si="33"/>
        <v>0</v>
      </c>
      <c r="V118" s="1020">
        <f t="shared" si="34"/>
        <v>0</v>
      </c>
      <c r="W118" s="1020">
        <f t="shared" si="41"/>
        <v>0</v>
      </c>
      <c r="X118" s="1020">
        <f t="shared" si="35"/>
        <v>0</v>
      </c>
      <c r="Y118" s="1020">
        <f t="shared" si="36"/>
        <v>0</v>
      </c>
      <c r="Z118" s="842">
        <f t="shared" si="51"/>
        <v>0</v>
      </c>
      <c r="AA118" s="842">
        <f t="shared" si="37"/>
        <v>0</v>
      </c>
      <c r="AB118" s="842">
        <f t="shared" si="37"/>
        <v>0</v>
      </c>
      <c r="AC118" s="842">
        <f t="shared" si="46"/>
        <v>0</v>
      </c>
      <c r="AD118" s="1020">
        <f t="shared" si="43"/>
        <v>0</v>
      </c>
      <c r="AE118" s="1537">
        <f t="shared" si="44"/>
        <v>0</v>
      </c>
    </row>
    <row r="119" spans="1:31" s="1024" customFormat="1" ht="30.75" hidden="1" customHeight="1">
      <c r="A119" s="2064"/>
      <c r="B119" s="2065"/>
      <c r="C119" s="843"/>
      <c r="D119" s="843"/>
      <c r="E119" s="840"/>
      <c r="F119" s="841"/>
      <c r="G119" s="841" t="s">
        <v>1200</v>
      </c>
      <c r="H119" s="841">
        <f t="shared" si="27"/>
        <v>240</v>
      </c>
      <c r="I119" s="840">
        <f t="shared" si="50"/>
        <v>0.99</v>
      </c>
      <c r="J119" s="840"/>
      <c r="K119" s="840">
        <f t="shared" si="39"/>
        <v>0.84</v>
      </c>
      <c r="L119" s="840">
        <f t="shared" si="28"/>
        <v>1.04</v>
      </c>
      <c r="M119" s="1020">
        <f t="shared" si="29"/>
        <v>0</v>
      </c>
      <c r="N119" s="1020">
        <f t="shared" si="48"/>
        <v>0</v>
      </c>
      <c r="O119" s="1020">
        <f t="shared" si="30"/>
        <v>0</v>
      </c>
      <c r="P119" s="1020">
        <f t="shared" si="31"/>
        <v>0</v>
      </c>
      <c r="Q119" s="1020">
        <f t="shared" si="49"/>
        <v>0</v>
      </c>
      <c r="R119" s="1020">
        <v>0.2</v>
      </c>
      <c r="S119" s="1020">
        <f t="shared" si="32"/>
        <v>0</v>
      </c>
      <c r="T119" s="1020">
        <f t="shared" si="40"/>
        <v>0</v>
      </c>
      <c r="U119" s="1020">
        <f t="shared" si="33"/>
        <v>0</v>
      </c>
      <c r="V119" s="1020">
        <f t="shared" si="34"/>
        <v>0</v>
      </c>
      <c r="W119" s="1020">
        <f t="shared" si="41"/>
        <v>0</v>
      </c>
      <c r="X119" s="1020">
        <f t="shared" si="35"/>
        <v>0</v>
      </c>
      <c r="Y119" s="1020">
        <f t="shared" si="36"/>
        <v>0</v>
      </c>
      <c r="Z119" s="842">
        <f t="shared" si="51"/>
        <v>0</v>
      </c>
      <c r="AA119" s="842">
        <f t="shared" si="37"/>
        <v>0</v>
      </c>
      <c r="AB119" s="842">
        <f t="shared" si="37"/>
        <v>0</v>
      </c>
      <c r="AC119" s="842">
        <f t="shared" si="46"/>
        <v>0</v>
      </c>
      <c r="AD119" s="1020">
        <f t="shared" si="43"/>
        <v>0</v>
      </c>
      <c r="AE119" s="1537">
        <f t="shared" si="44"/>
        <v>0</v>
      </c>
    </row>
    <row r="120" spans="1:31" s="1024" customFormat="1" ht="30.75" hidden="1" customHeight="1">
      <c r="A120" s="2064"/>
      <c r="B120" s="2065"/>
      <c r="C120" s="843"/>
      <c r="D120" s="843"/>
      <c r="E120" s="840"/>
      <c r="F120" s="841"/>
      <c r="G120" s="841" t="s">
        <v>1200</v>
      </c>
      <c r="H120" s="841">
        <f t="shared" si="27"/>
        <v>240</v>
      </c>
      <c r="I120" s="840">
        <f t="shared" si="50"/>
        <v>0.99</v>
      </c>
      <c r="J120" s="840"/>
      <c r="K120" s="840">
        <f t="shared" si="39"/>
        <v>0.84</v>
      </c>
      <c r="L120" s="840">
        <f t="shared" si="28"/>
        <v>1.04</v>
      </c>
      <c r="M120" s="1020">
        <f t="shared" si="29"/>
        <v>0</v>
      </c>
      <c r="N120" s="1020">
        <f t="shared" si="48"/>
        <v>0</v>
      </c>
      <c r="O120" s="1020">
        <f t="shared" si="30"/>
        <v>0</v>
      </c>
      <c r="P120" s="1020">
        <f t="shared" si="31"/>
        <v>0</v>
      </c>
      <c r="Q120" s="1020">
        <f t="shared" si="49"/>
        <v>0</v>
      </c>
      <c r="R120" s="1020">
        <v>0.2</v>
      </c>
      <c r="S120" s="1020">
        <f t="shared" si="32"/>
        <v>0</v>
      </c>
      <c r="T120" s="1020">
        <f t="shared" si="40"/>
        <v>0</v>
      </c>
      <c r="U120" s="1020">
        <f t="shared" si="33"/>
        <v>0</v>
      </c>
      <c r="V120" s="1020">
        <f t="shared" si="34"/>
        <v>0</v>
      </c>
      <c r="W120" s="1020">
        <f t="shared" si="41"/>
        <v>0</v>
      </c>
      <c r="X120" s="1020">
        <f t="shared" si="35"/>
        <v>0</v>
      </c>
      <c r="Y120" s="1020">
        <f t="shared" si="36"/>
        <v>0</v>
      </c>
      <c r="Z120" s="842">
        <f t="shared" si="51"/>
        <v>0</v>
      </c>
      <c r="AA120" s="842">
        <f t="shared" si="37"/>
        <v>0</v>
      </c>
      <c r="AB120" s="842">
        <f t="shared" si="37"/>
        <v>0</v>
      </c>
      <c r="AC120" s="842">
        <f t="shared" si="46"/>
        <v>0</v>
      </c>
      <c r="AD120" s="1020">
        <f t="shared" si="43"/>
        <v>0</v>
      </c>
      <c r="AE120" s="1537">
        <f t="shared" si="44"/>
        <v>0</v>
      </c>
    </row>
    <row r="121" spans="1:31" s="1024" customFormat="1" ht="30.75" hidden="1" customHeight="1">
      <c r="A121" s="2064"/>
      <c r="B121" s="2065"/>
      <c r="C121" s="843"/>
      <c r="D121" s="843"/>
      <c r="E121" s="840"/>
      <c r="F121" s="841"/>
      <c r="G121" s="841" t="s">
        <v>1200</v>
      </c>
      <c r="H121" s="841">
        <f t="shared" si="27"/>
        <v>240</v>
      </c>
      <c r="I121" s="840">
        <f t="shared" si="50"/>
        <v>0.99</v>
      </c>
      <c r="J121" s="840"/>
      <c r="K121" s="840">
        <f t="shared" si="39"/>
        <v>0.84</v>
      </c>
      <c r="L121" s="840">
        <f t="shared" si="28"/>
        <v>1.04</v>
      </c>
      <c r="M121" s="1020">
        <f t="shared" si="29"/>
        <v>0</v>
      </c>
      <c r="N121" s="1020">
        <f t="shared" si="48"/>
        <v>0</v>
      </c>
      <c r="O121" s="1020">
        <f t="shared" si="30"/>
        <v>0</v>
      </c>
      <c r="P121" s="1020">
        <f t="shared" si="31"/>
        <v>0</v>
      </c>
      <c r="Q121" s="1020">
        <f t="shared" si="49"/>
        <v>0</v>
      </c>
      <c r="R121" s="1020">
        <v>0.2</v>
      </c>
      <c r="S121" s="1020">
        <f t="shared" si="32"/>
        <v>0</v>
      </c>
      <c r="T121" s="1020">
        <f t="shared" si="40"/>
        <v>0</v>
      </c>
      <c r="U121" s="1020">
        <f t="shared" si="33"/>
        <v>0</v>
      </c>
      <c r="V121" s="1020">
        <f t="shared" si="34"/>
        <v>0</v>
      </c>
      <c r="W121" s="1020">
        <f t="shared" si="41"/>
        <v>0</v>
      </c>
      <c r="X121" s="1020">
        <f t="shared" si="35"/>
        <v>0</v>
      </c>
      <c r="Y121" s="1020">
        <f t="shared" si="36"/>
        <v>0</v>
      </c>
      <c r="Z121" s="842">
        <f t="shared" si="51"/>
        <v>0</v>
      </c>
      <c r="AA121" s="842">
        <f t="shared" si="37"/>
        <v>0</v>
      </c>
      <c r="AB121" s="842">
        <f t="shared" si="37"/>
        <v>0</v>
      </c>
      <c r="AC121" s="842">
        <f t="shared" si="46"/>
        <v>0</v>
      </c>
      <c r="AD121" s="1020">
        <f t="shared" si="43"/>
        <v>0</v>
      </c>
      <c r="AE121" s="1537">
        <f t="shared" si="44"/>
        <v>0</v>
      </c>
    </row>
    <row r="122" spans="1:31" s="1024" customFormat="1" ht="30.75" hidden="1" customHeight="1">
      <c r="A122" s="2064"/>
      <c r="B122" s="2065"/>
      <c r="C122" s="843"/>
      <c r="D122" s="843"/>
      <c r="E122" s="840"/>
      <c r="F122" s="841"/>
      <c r="G122" s="841" t="s">
        <v>1200</v>
      </c>
      <c r="H122" s="841">
        <f t="shared" si="27"/>
        <v>240</v>
      </c>
      <c r="I122" s="840">
        <f t="shared" si="50"/>
        <v>0.99</v>
      </c>
      <c r="J122" s="840"/>
      <c r="K122" s="840">
        <f t="shared" si="39"/>
        <v>0.84</v>
      </c>
      <c r="L122" s="840">
        <f t="shared" si="28"/>
        <v>1.04</v>
      </c>
      <c r="M122" s="1020">
        <f t="shared" si="29"/>
        <v>0</v>
      </c>
      <c r="N122" s="1020">
        <f t="shared" si="48"/>
        <v>0</v>
      </c>
      <c r="O122" s="1020">
        <f t="shared" si="30"/>
        <v>0</v>
      </c>
      <c r="P122" s="1020">
        <f t="shared" si="31"/>
        <v>0</v>
      </c>
      <c r="Q122" s="1020">
        <f t="shared" si="49"/>
        <v>0</v>
      </c>
      <c r="R122" s="1020">
        <v>0.2</v>
      </c>
      <c r="S122" s="1020">
        <f t="shared" si="32"/>
        <v>0</v>
      </c>
      <c r="T122" s="1020">
        <f t="shared" si="40"/>
        <v>0</v>
      </c>
      <c r="U122" s="1020">
        <f t="shared" si="33"/>
        <v>0</v>
      </c>
      <c r="V122" s="1020">
        <f t="shared" si="34"/>
        <v>0</v>
      </c>
      <c r="W122" s="1020">
        <f t="shared" si="41"/>
        <v>0</v>
      </c>
      <c r="X122" s="1020">
        <f t="shared" si="35"/>
        <v>0</v>
      </c>
      <c r="Y122" s="1020">
        <f t="shared" si="36"/>
        <v>0</v>
      </c>
      <c r="Z122" s="842">
        <f t="shared" si="51"/>
        <v>0</v>
      </c>
      <c r="AA122" s="842">
        <f t="shared" si="37"/>
        <v>0</v>
      </c>
      <c r="AB122" s="842">
        <f t="shared" si="37"/>
        <v>0</v>
      </c>
      <c r="AC122" s="842">
        <f t="shared" si="46"/>
        <v>0</v>
      </c>
      <c r="AD122" s="1020">
        <f t="shared" si="43"/>
        <v>0</v>
      </c>
      <c r="AE122" s="1537">
        <f t="shared" si="44"/>
        <v>0</v>
      </c>
    </row>
    <row r="123" spans="1:31" s="1024" customFormat="1" ht="30.75" hidden="1" customHeight="1">
      <c r="A123" s="2064"/>
      <c r="B123" s="2065"/>
      <c r="C123" s="843"/>
      <c r="D123" s="843"/>
      <c r="E123" s="840"/>
      <c r="F123" s="841"/>
      <c r="G123" s="841" t="s">
        <v>1200</v>
      </c>
      <c r="H123" s="841">
        <f t="shared" si="27"/>
        <v>240</v>
      </c>
      <c r="I123" s="840">
        <f t="shared" si="50"/>
        <v>0.99</v>
      </c>
      <c r="J123" s="840"/>
      <c r="K123" s="840">
        <f t="shared" si="39"/>
        <v>0.84</v>
      </c>
      <c r="L123" s="840">
        <f t="shared" si="28"/>
        <v>1.04</v>
      </c>
      <c r="M123" s="1020">
        <f t="shared" si="29"/>
        <v>0</v>
      </c>
      <c r="N123" s="1020">
        <f t="shared" si="48"/>
        <v>0</v>
      </c>
      <c r="O123" s="1020">
        <f t="shared" si="30"/>
        <v>0</v>
      </c>
      <c r="P123" s="1020">
        <f t="shared" si="31"/>
        <v>0</v>
      </c>
      <c r="Q123" s="1020">
        <f t="shared" si="49"/>
        <v>0</v>
      </c>
      <c r="R123" s="1020">
        <v>0.2</v>
      </c>
      <c r="S123" s="1020">
        <f t="shared" si="32"/>
        <v>0</v>
      </c>
      <c r="T123" s="1020">
        <f t="shared" si="40"/>
        <v>0</v>
      </c>
      <c r="U123" s="1020">
        <f t="shared" si="33"/>
        <v>0</v>
      </c>
      <c r="V123" s="1020">
        <f t="shared" si="34"/>
        <v>0</v>
      </c>
      <c r="W123" s="1020">
        <f t="shared" si="41"/>
        <v>0</v>
      </c>
      <c r="X123" s="1020">
        <f t="shared" si="35"/>
        <v>0</v>
      </c>
      <c r="Y123" s="1020">
        <f t="shared" si="36"/>
        <v>0</v>
      </c>
      <c r="Z123" s="842">
        <f t="shared" si="51"/>
        <v>0</v>
      </c>
      <c r="AA123" s="842">
        <f t="shared" si="37"/>
        <v>0</v>
      </c>
      <c r="AB123" s="842">
        <f t="shared" si="37"/>
        <v>0</v>
      </c>
      <c r="AC123" s="842">
        <f t="shared" si="46"/>
        <v>0</v>
      </c>
      <c r="AD123" s="1020">
        <f t="shared" si="43"/>
        <v>0</v>
      </c>
      <c r="AE123" s="1537">
        <f t="shared" si="44"/>
        <v>0</v>
      </c>
    </row>
    <row r="124" spans="1:31" s="1024" customFormat="1" ht="30.75" hidden="1" customHeight="1">
      <c r="A124" s="2064"/>
      <c r="B124" s="2065"/>
      <c r="C124" s="843"/>
      <c r="D124" s="843"/>
      <c r="E124" s="840"/>
      <c r="F124" s="841"/>
      <c r="G124" s="841" t="s">
        <v>1200</v>
      </c>
      <c r="H124" s="841">
        <f t="shared" si="27"/>
        <v>240</v>
      </c>
      <c r="I124" s="840">
        <f t="shared" si="50"/>
        <v>0.99</v>
      </c>
      <c r="J124" s="840"/>
      <c r="K124" s="840">
        <f t="shared" si="39"/>
        <v>0.84</v>
      </c>
      <c r="L124" s="840">
        <f t="shared" si="28"/>
        <v>1.04</v>
      </c>
      <c r="M124" s="1020">
        <f t="shared" si="29"/>
        <v>0</v>
      </c>
      <c r="N124" s="1020">
        <f t="shared" si="48"/>
        <v>0</v>
      </c>
      <c r="O124" s="1020">
        <f t="shared" si="30"/>
        <v>0</v>
      </c>
      <c r="P124" s="1020">
        <f t="shared" si="31"/>
        <v>0</v>
      </c>
      <c r="Q124" s="1020">
        <f t="shared" si="49"/>
        <v>0</v>
      </c>
      <c r="R124" s="1020">
        <v>0.2</v>
      </c>
      <c r="S124" s="1020">
        <f t="shared" si="32"/>
        <v>0</v>
      </c>
      <c r="T124" s="1020">
        <f t="shared" si="40"/>
        <v>0</v>
      </c>
      <c r="U124" s="1020">
        <f t="shared" si="33"/>
        <v>0</v>
      </c>
      <c r="V124" s="1020">
        <f t="shared" si="34"/>
        <v>0</v>
      </c>
      <c r="W124" s="1020">
        <f t="shared" si="41"/>
        <v>0</v>
      </c>
      <c r="X124" s="1020">
        <f t="shared" si="35"/>
        <v>0</v>
      </c>
      <c r="Y124" s="1020">
        <f t="shared" si="36"/>
        <v>0</v>
      </c>
      <c r="Z124" s="842">
        <f t="shared" si="51"/>
        <v>0</v>
      </c>
      <c r="AA124" s="842">
        <f t="shared" si="37"/>
        <v>0</v>
      </c>
      <c r="AB124" s="842">
        <f t="shared" si="37"/>
        <v>0</v>
      </c>
      <c r="AC124" s="842">
        <f t="shared" si="46"/>
        <v>0</v>
      </c>
      <c r="AD124" s="1020">
        <f t="shared" si="43"/>
        <v>0</v>
      </c>
      <c r="AE124" s="1537">
        <f t="shared" si="44"/>
        <v>0</v>
      </c>
    </row>
    <row r="125" spans="1:31" s="1024" customFormat="1" ht="30.75" hidden="1" customHeight="1">
      <c r="A125" s="2064"/>
      <c r="B125" s="2065"/>
      <c r="C125" s="843"/>
      <c r="D125" s="843"/>
      <c r="E125" s="840"/>
      <c r="F125" s="841"/>
      <c r="G125" s="841" t="s">
        <v>1200</v>
      </c>
      <c r="H125" s="841">
        <f t="shared" si="27"/>
        <v>240</v>
      </c>
      <c r="I125" s="840">
        <f t="shared" si="50"/>
        <v>0.99</v>
      </c>
      <c r="J125" s="840"/>
      <c r="K125" s="840">
        <f t="shared" si="39"/>
        <v>0.84</v>
      </c>
      <c r="L125" s="840">
        <f t="shared" si="28"/>
        <v>1.04</v>
      </c>
      <c r="M125" s="1020">
        <f t="shared" si="29"/>
        <v>0</v>
      </c>
      <c r="N125" s="1020">
        <f t="shared" si="48"/>
        <v>0</v>
      </c>
      <c r="O125" s="1020">
        <f t="shared" si="30"/>
        <v>0</v>
      </c>
      <c r="P125" s="1020">
        <f t="shared" si="31"/>
        <v>0</v>
      </c>
      <c r="Q125" s="1020">
        <f t="shared" si="49"/>
        <v>0</v>
      </c>
      <c r="R125" s="1020">
        <v>0.2</v>
      </c>
      <c r="S125" s="1020">
        <f t="shared" si="32"/>
        <v>0</v>
      </c>
      <c r="T125" s="1020">
        <f t="shared" si="40"/>
        <v>0</v>
      </c>
      <c r="U125" s="1020">
        <f t="shared" si="33"/>
        <v>0</v>
      </c>
      <c r="V125" s="1020">
        <f t="shared" si="34"/>
        <v>0</v>
      </c>
      <c r="W125" s="1020">
        <f t="shared" si="41"/>
        <v>0</v>
      </c>
      <c r="X125" s="1020">
        <f t="shared" si="35"/>
        <v>0</v>
      </c>
      <c r="Y125" s="1020">
        <f t="shared" si="36"/>
        <v>0</v>
      </c>
      <c r="Z125" s="842">
        <f t="shared" si="51"/>
        <v>0</v>
      </c>
      <c r="AA125" s="842">
        <f t="shared" si="37"/>
        <v>0</v>
      </c>
      <c r="AB125" s="842">
        <f t="shared" si="37"/>
        <v>0</v>
      </c>
      <c r="AC125" s="842">
        <f t="shared" si="46"/>
        <v>0</v>
      </c>
      <c r="AD125" s="1020">
        <f t="shared" si="43"/>
        <v>0</v>
      </c>
      <c r="AE125" s="1537">
        <f t="shared" si="44"/>
        <v>0</v>
      </c>
    </row>
    <row r="126" spans="1:31" s="1024" customFormat="1" ht="30.75" hidden="1" customHeight="1">
      <c r="A126" s="2064"/>
      <c r="B126" s="2065"/>
      <c r="C126" s="843"/>
      <c r="D126" s="843"/>
      <c r="E126" s="840"/>
      <c r="F126" s="841"/>
      <c r="G126" s="841" t="s">
        <v>1200</v>
      </c>
      <c r="H126" s="841">
        <f t="shared" si="27"/>
        <v>240</v>
      </c>
      <c r="I126" s="840">
        <f t="shared" si="50"/>
        <v>0.99</v>
      </c>
      <c r="J126" s="840"/>
      <c r="K126" s="840">
        <f t="shared" si="39"/>
        <v>0.84</v>
      </c>
      <c r="L126" s="840">
        <f t="shared" si="28"/>
        <v>1.04</v>
      </c>
      <c r="M126" s="1020">
        <f t="shared" si="29"/>
        <v>0</v>
      </c>
      <c r="N126" s="1020">
        <f t="shared" si="48"/>
        <v>0</v>
      </c>
      <c r="O126" s="1020">
        <f t="shared" si="30"/>
        <v>0</v>
      </c>
      <c r="P126" s="1020">
        <f t="shared" si="31"/>
        <v>0</v>
      </c>
      <c r="Q126" s="1020">
        <f t="shared" si="49"/>
        <v>0</v>
      </c>
      <c r="R126" s="1020">
        <v>0.2</v>
      </c>
      <c r="S126" s="1020">
        <f t="shared" si="32"/>
        <v>0</v>
      </c>
      <c r="T126" s="1020">
        <f t="shared" si="40"/>
        <v>0</v>
      </c>
      <c r="U126" s="1020">
        <f t="shared" si="33"/>
        <v>0</v>
      </c>
      <c r="V126" s="1020">
        <f t="shared" si="34"/>
        <v>0</v>
      </c>
      <c r="W126" s="1020">
        <f t="shared" si="41"/>
        <v>0</v>
      </c>
      <c r="X126" s="1020">
        <f t="shared" si="35"/>
        <v>0</v>
      </c>
      <c r="Y126" s="1020">
        <f t="shared" si="36"/>
        <v>0</v>
      </c>
      <c r="Z126" s="842">
        <f t="shared" si="51"/>
        <v>0</v>
      </c>
      <c r="AA126" s="842">
        <f t="shared" si="37"/>
        <v>0</v>
      </c>
      <c r="AB126" s="842">
        <f t="shared" si="37"/>
        <v>0</v>
      </c>
      <c r="AC126" s="842">
        <f t="shared" si="46"/>
        <v>0</v>
      </c>
      <c r="AD126" s="1020">
        <f t="shared" si="43"/>
        <v>0</v>
      </c>
      <c r="AE126" s="1537">
        <f t="shared" si="44"/>
        <v>0</v>
      </c>
    </row>
    <row r="127" spans="1:31" s="1024" customFormat="1" ht="30.75" hidden="1" customHeight="1">
      <c r="A127" s="2064"/>
      <c r="B127" s="2065"/>
      <c r="C127" s="843"/>
      <c r="D127" s="843"/>
      <c r="E127" s="840"/>
      <c r="F127" s="841"/>
      <c r="G127" s="841" t="s">
        <v>1200</v>
      </c>
      <c r="H127" s="841">
        <f t="shared" si="27"/>
        <v>240</v>
      </c>
      <c r="I127" s="840">
        <f t="shared" si="50"/>
        <v>0.99</v>
      </c>
      <c r="J127" s="840"/>
      <c r="K127" s="840">
        <f t="shared" si="39"/>
        <v>0.84</v>
      </c>
      <c r="L127" s="840">
        <f t="shared" si="28"/>
        <v>1.04</v>
      </c>
      <c r="M127" s="1020">
        <f t="shared" si="29"/>
        <v>0</v>
      </c>
      <c r="N127" s="1020">
        <f t="shared" si="48"/>
        <v>0</v>
      </c>
      <c r="O127" s="1020">
        <f t="shared" si="30"/>
        <v>0</v>
      </c>
      <c r="P127" s="1020">
        <f t="shared" si="31"/>
        <v>0</v>
      </c>
      <c r="Q127" s="1020">
        <f t="shared" si="49"/>
        <v>0</v>
      </c>
      <c r="R127" s="1020">
        <v>0.2</v>
      </c>
      <c r="S127" s="1020">
        <f t="shared" si="32"/>
        <v>0</v>
      </c>
      <c r="T127" s="1020">
        <f t="shared" si="40"/>
        <v>0</v>
      </c>
      <c r="U127" s="1020">
        <f t="shared" si="33"/>
        <v>0</v>
      </c>
      <c r="V127" s="1020">
        <f t="shared" si="34"/>
        <v>0</v>
      </c>
      <c r="W127" s="1020">
        <f t="shared" si="41"/>
        <v>0</v>
      </c>
      <c r="X127" s="1020">
        <f t="shared" si="35"/>
        <v>0</v>
      </c>
      <c r="Y127" s="1020">
        <f t="shared" si="36"/>
        <v>0</v>
      </c>
      <c r="Z127" s="842">
        <f t="shared" si="51"/>
        <v>0</v>
      </c>
      <c r="AA127" s="842">
        <f t="shared" si="37"/>
        <v>0</v>
      </c>
      <c r="AB127" s="842">
        <f t="shared" si="37"/>
        <v>0</v>
      </c>
      <c r="AC127" s="842">
        <f t="shared" si="46"/>
        <v>0</v>
      </c>
      <c r="AD127" s="1020">
        <f t="shared" si="43"/>
        <v>0</v>
      </c>
      <c r="AE127" s="1537">
        <f t="shared" si="44"/>
        <v>0</v>
      </c>
    </row>
    <row r="128" spans="1:31" s="1024" customFormat="1" ht="30.75" hidden="1" customHeight="1">
      <c r="A128" s="2064"/>
      <c r="B128" s="2065"/>
      <c r="C128" s="843"/>
      <c r="D128" s="843"/>
      <c r="E128" s="840"/>
      <c r="F128" s="841"/>
      <c r="G128" s="841" t="s">
        <v>1200</v>
      </c>
      <c r="H128" s="841">
        <f t="shared" si="27"/>
        <v>240</v>
      </c>
      <c r="I128" s="840">
        <f t="shared" si="50"/>
        <v>0.99</v>
      </c>
      <c r="J128" s="840"/>
      <c r="K128" s="840">
        <f t="shared" si="39"/>
        <v>0.84</v>
      </c>
      <c r="L128" s="840">
        <f t="shared" si="28"/>
        <v>1.04</v>
      </c>
      <c r="M128" s="1020">
        <f t="shared" si="29"/>
        <v>0</v>
      </c>
      <c r="N128" s="1020">
        <f t="shared" si="48"/>
        <v>0</v>
      </c>
      <c r="O128" s="1020">
        <f t="shared" si="30"/>
        <v>0</v>
      </c>
      <c r="P128" s="1020">
        <f t="shared" si="31"/>
        <v>0</v>
      </c>
      <c r="Q128" s="1020">
        <f t="shared" si="49"/>
        <v>0</v>
      </c>
      <c r="R128" s="1020">
        <v>0.2</v>
      </c>
      <c r="S128" s="1020">
        <f t="shared" si="32"/>
        <v>0</v>
      </c>
      <c r="T128" s="1020">
        <f t="shared" si="40"/>
        <v>0</v>
      </c>
      <c r="U128" s="1020">
        <f t="shared" si="33"/>
        <v>0</v>
      </c>
      <c r="V128" s="1020">
        <f t="shared" si="34"/>
        <v>0</v>
      </c>
      <c r="W128" s="1020">
        <f t="shared" si="41"/>
        <v>0</v>
      </c>
      <c r="X128" s="1020">
        <f t="shared" si="35"/>
        <v>0</v>
      </c>
      <c r="Y128" s="1020">
        <f t="shared" si="36"/>
        <v>0</v>
      </c>
      <c r="Z128" s="842">
        <f t="shared" si="51"/>
        <v>0</v>
      </c>
      <c r="AA128" s="842">
        <f t="shared" si="37"/>
        <v>0</v>
      </c>
      <c r="AB128" s="842">
        <f t="shared" si="37"/>
        <v>0</v>
      </c>
      <c r="AC128" s="842">
        <f t="shared" si="46"/>
        <v>0</v>
      </c>
      <c r="AD128" s="1020">
        <f t="shared" si="43"/>
        <v>0</v>
      </c>
      <c r="AE128" s="1537">
        <f t="shared" si="44"/>
        <v>0</v>
      </c>
    </row>
    <row r="129" spans="1:31" s="1024" customFormat="1" ht="30.75" hidden="1" customHeight="1">
      <c r="A129" s="2064"/>
      <c r="B129" s="2065"/>
      <c r="C129" s="843"/>
      <c r="D129" s="843"/>
      <c r="E129" s="840"/>
      <c r="F129" s="841"/>
      <c r="G129" s="841" t="s">
        <v>1200</v>
      </c>
      <c r="H129" s="841">
        <f t="shared" si="27"/>
        <v>240</v>
      </c>
      <c r="I129" s="840">
        <f t="shared" si="50"/>
        <v>0.99</v>
      </c>
      <c r="J129" s="840"/>
      <c r="K129" s="840">
        <f t="shared" si="39"/>
        <v>0.84</v>
      </c>
      <c r="L129" s="840">
        <f t="shared" si="28"/>
        <v>1.04</v>
      </c>
      <c r="M129" s="1020">
        <f t="shared" si="29"/>
        <v>0</v>
      </c>
      <c r="N129" s="1020">
        <f t="shared" si="48"/>
        <v>0</v>
      </c>
      <c r="O129" s="1020">
        <f t="shared" si="30"/>
        <v>0</v>
      </c>
      <c r="P129" s="1020">
        <f t="shared" si="31"/>
        <v>0</v>
      </c>
      <c r="Q129" s="1020">
        <f t="shared" si="49"/>
        <v>0</v>
      </c>
      <c r="R129" s="1020">
        <v>0.2</v>
      </c>
      <c r="S129" s="1020">
        <f t="shared" si="32"/>
        <v>0</v>
      </c>
      <c r="T129" s="1020">
        <f t="shared" si="40"/>
        <v>0</v>
      </c>
      <c r="U129" s="1020">
        <f t="shared" si="33"/>
        <v>0</v>
      </c>
      <c r="V129" s="1020">
        <f t="shared" si="34"/>
        <v>0</v>
      </c>
      <c r="W129" s="1020">
        <f t="shared" si="41"/>
        <v>0</v>
      </c>
      <c r="X129" s="1020">
        <f t="shared" si="35"/>
        <v>0</v>
      </c>
      <c r="Y129" s="1020">
        <f t="shared" si="36"/>
        <v>0</v>
      </c>
      <c r="Z129" s="842">
        <f t="shared" si="51"/>
        <v>0</v>
      </c>
      <c r="AA129" s="842">
        <f t="shared" si="37"/>
        <v>0</v>
      </c>
      <c r="AB129" s="842">
        <f t="shared" si="37"/>
        <v>0</v>
      </c>
      <c r="AC129" s="842">
        <f t="shared" si="46"/>
        <v>0</v>
      </c>
      <c r="AD129" s="1020">
        <f t="shared" si="43"/>
        <v>0</v>
      </c>
      <c r="AE129" s="1537">
        <f t="shared" si="44"/>
        <v>0</v>
      </c>
    </row>
    <row r="130" spans="1:31" s="1024" customFormat="1" ht="30.75" hidden="1" customHeight="1">
      <c r="A130" s="2064"/>
      <c r="B130" s="2065"/>
      <c r="C130" s="843"/>
      <c r="D130" s="843"/>
      <c r="E130" s="840"/>
      <c r="F130" s="841"/>
      <c r="G130" s="841" t="s">
        <v>1200</v>
      </c>
      <c r="H130" s="841">
        <f t="shared" si="27"/>
        <v>240</v>
      </c>
      <c r="I130" s="840">
        <f t="shared" si="50"/>
        <v>0.99</v>
      </c>
      <c r="J130" s="840"/>
      <c r="K130" s="840">
        <f t="shared" si="39"/>
        <v>0.84</v>
      </c>
      <c r="L130" s="840">
        <f t="shared" si="28"/>
        <v>1.04</v>
      </c>
      <c r="M130" s="1020">
        <f t="shared" si="29"/>
        <v>0</v>
      </c>
      <c r="N130" s="1020">
        <f t="shared" si="48"/>
        <v>0</v>
      </c>
      <c r="O130" s="1020">
        <f t="shared" si="30"/>
        <v>0</v>
      </c>
      <c r="P130" s="1020">
        <f t="shared" si="31"/>
        <v>0</v>
      </c>
      <c r="Q130" s="1020">
        <f t="shared" si="49"/>
        <v>0</v>
      </c>
      <c r="R130" s="1020">
        <v>0.2</v>
      </c>
      <c r="S130" s="1020">
        <f t="shared" si="32"/>
        <v>0</v>
      </c>
      <c r="T130" s="1020">
        <f t="shared" si="40"/>
        <v>0</v>
      </c>
      <c r="U130" s="1020">
        <f t="shared" si="33"/>
        <v>0</v>
      </c>
      <c r="V130" s="1020">
        <f t="shared" si="34"/>
        <v>0</v>
      </c>
      <c r="W130" s="1020">
        <f t="shared" si="41"/>
        <v>0</v>
      </c>
      <c r="X130" s="1020">
        <f t="shared" si="35"/>
        <v>0</v>
      </c>
      <c r="Y130" s="1020">
        <f t="shared" si="36"/>
        <v>0</v>
      </c>
      <c r="Z130" s="842">
        <f t="shared" si="51"/>
        <v>0</v>
      </c>
      <c r="AA130" s="842">
        <f t="shared" si="37"/>
        <v>0</v>
      </c>
      <c r="AB130" s="842">
        <f t="shared" si="37"/>
        <v>0</v>
      </c>
      <c r="AC130" s="842">
        <f t="shared" si="46"/>
        <v>0</v>
      </c>
      <c r="AD130" s="1020">
        <f t="shared" si="43"/>
        <v>0</v>
      </c>
      <c r="AE130" s="1537">
        <f t="shared" si="44"/>
        <v>0</v>
      </c>
    </row>
    <row r="131" spans="1:31" s="1024" customFormat="1" ht="30.75" hidden="1" customHeight="1">
      <c r="A131" s="2064"/>
      <c r="B131" s="2065"/>
      <c r="C131" s="843"/>
      <c r="D131" s="843"/>
      <c r="E131" s="840"/>
      <c r="F131" s="841"/>
      <c r="G131" s="841" t="s">
        <v>1200</v>
      </c>
      <c r="H131" s="841">
        <f t="shared" si="27"/>
        <v>240</v>
      </c>
      <c r="I131" s="840">
        <f t="shared" si="50"/>
        <v>0.99</v>
      </c>
      <c r="J131" s="840"/>
      <c r="K131" s="840">
        <f t="shared" si="39"/>
        <v>0.84</v>
      </c>
      <c r="L131" s="840">
        <f t="shared" si="28"/>
        <v>1.04</v>
      </c>
      <c r="M131" s="1020">
        <f t="shared" si="29"/>
        <v>0</v>
      </c>
      <c r="N131" s="1020">
        <f t="shared" si="48"/>
        <v>0</v>
      </c>
      <c r="O131" s="1020">
        <f t="shared" si="30"/>
        <v>0</v>
      </c>
      <c r="P131" s="1020">
        <f t="shared" si="31"/>
        <v>0</v>
      </c>
      <c r="Q131" s="1020">
        <f t="shared" si="49"/>
        <v>0</v>
      </c>
      <c r="R131" s="1020">
        <v>0.2</v>
      </c>
      <c r="S131" s="1020">
        <f t="shared" si="32"/>
        <v>0</v>
      </c>
      <c r="T131" s="1020">
        <f t="shared" si="40"/>
        <v>0</v>
      </c>
      <c r="U131" s="1020">
        <f t="shared" si="33"/>
        <v>0</v>
      </c>
      <c r="V131" s="1020">
        <f t="shared" si="34"/>
        <v>0</v>
      </c>
      <c r="W131" s="1020">
        <f t="shared" si="41"/>
        <v>0</v>
      </c>
      <c r="X131" s="1020">
        <f t="shared" si="35"/>
        <v>0</v>
      </c>
      <c r="Y131" s="1020">
        <f t="shared" si="36"/>
        <v>0</v>
      </c>
      <c r="Z131" s="842">
        <f t="shared" si="51"/>
        <v>0</v>
      </c>
      <c r="AA131" s="842">
        <f t="shared" si="37"/>
        <v>0</v>
      </c>
      <c r="AB131" s="842">
        <f t="shared" si="37"/>
        <v>0</v>
      </c>
      <c r="AC131" s="842">
        <f t="shared" si="46"/>
        <v>0</v>
      </c>
      <c r="AD131" s="1020">
        <f t="shared" si="43"/>
        <v>0</v>
      </c>
      <c r="AE131" s="1537">
        <f t="shared" si="44"/>
        <v>0</v>
      </c>
    </row>
    <row r="132" spans="1:31" s="1024" customFormat="1" ht="30.75" hidden="1" customHeight="1">
      <c r="A132" s="2064"/>
      <c r="B132" s="2065"/>
      <c r="C132" s="843"/>
      <c r="D132" s="843"/>
      <c r="E132" s="840"/>
      <c r="F132" s="841"/>
      <c r="G132" s="841" t="s">
        <v>1200</v>
      </c>
      <c r="H132" s="841">
        <f t="shared" si="27"/>
        <v>240</v>
      </c>
      <c r="I132" s="840">
        <f t="shared" si="50"/>
        <v>0.99</v>
      </c>
      <c r="J132" s="840"/>
      <c r="K132" s="840">
        <f t="shared" si="39"/>
        <v>0.84</v>
      </c>
      <c r="L132" s="840">
        <f t="shared" si="28"/>
        <v>1.04</v>
      </c>
      <c r="M132" s="1020">
        <f t="shared" si="29"/>
        <v>0</v>
      </c>
      <c r="N132" s="1020">
        <f t="shared" si="48"/>
        <v>0</v>
      </c>
      <c r="O132" s="1020">
        <f t="shared" si="30"/>
        <v>0</v>
      </c>
      <c r="P132" s="1020">
        <f t="shared" si="31"/>
        <v>0</v>
      </c>
      <c r="Q132" s="1020">
        <f t="shared" si="49"/>
        <v>0</v>
      </c>
      <c r="R132" s="1020">
        <v>0.2</v>
      </c>
      <c r="S132" s="1020">
        <f t="shared" si="32"/>
        <v>0</v>
      </c>
      <c r="T132" s="1020">
        <f t="shared" si="40"/>
        <v>0</v>
      </c>
      <c r="U132" s="1020">
        <f t="shared" si="33"/>
        <v>0</v>
      </c>
      <c r="V132" s="1020">
        <f t="shared" si="34"/>
        <v>0</v>
      </c>
      <c r="W132" s="1020">
        <f t="shared" si="41"/>
        <v>0</v>
      </c>
      <c r="X132" s="1020">
        <f t="shared" si="35"/>
        <v>0</v>
      </c>
      <c r="Y132" s="1020">
        <f t="shared" si="36"/>
        <v>0</v>
      </c>
      <c r="Z132" s="842">
        <f t="shared" si="51"/>
        <v>0</v>
      </c>
      <c r="AA132" s="842">
        <f t="shared" si="37"/>
        <v>0</v>
      </c>
      <c r="AB132" s="842">
        <f t="shared" si="37"/>
        <v>0</v>
      </c>
      <c r="AC132" s="842">
        <f t="shared" si="46"/>
        <v>0</v>
      </c>
      <c r="AD132" s="1020">
        <f t="shared" si="43"/>
        <v>0</v>
      </c>
      <c r="AE132" s="1537">
        <f t="shared" si="44"/>
        <v>0</v>
      </c>
    </row>
    <row r="133" spans="1:31" s="1024" customFormat="1" ht="30.75" hidden="1" customHeight="1">
      <c r="A133" s="2064"/>
      <c r="B133" s="2065"/>
      <c r="C133" s="843"/>
      <c r="D133" s="843"/>
      <c r="E133" s="840"/>
      <c r="F133" s="841"/>
      <c r="G133" s="841" t="s">
        <v>1200</v>
      </c>
      <c r="H133" s="841">
        <f t="shared" si="27"/>
        <v>240</v>
      </c>
      <c r="I133" s="840">
        <f t="shared" si="50"/>
        <v>0.99</v>
      </c>
      <c r="J133" s="840"/>
      <c r="K133" s="840">
        <f t="shared" si="39"/>
        <v>0.84</v>
      </c>
      <c r="L133" s="840">
        <f t="shared" si="28"/>
        <v>1.04</v>
      </c>
      <c r="M133" s="1020">
        <f t="shared" si="29"/>
        <v>0</v>
      </c>
      <c r="N133" s="1020">
        <f t="shared" si="48"/>
        <v>0</v>
      </c>
      <c r="O133" s="1020">
        <f t="shared" si="30"/>
        <v>0</v>
      </c>
      <c r="P133" s="1020">
        <f t="shared" si="31"/>
        <v>0</v>
      </c>
      <c r="Q133" s="1020">
        <f t="shared" si="49"/>
        <v>0</v>
      </c>
      <c r="R133" s="1020">
        <v>0.2</v>
      </c>
      <c r="S133" s="1020">
        <f t="shared" si="32"/>
        <v>0</v>
      </c>
      <c r="T133" s="1020">
        <f t="shared" si="40"/>
        <v>0</v>
      </c>
      <c r="U133" s="1020">
        <f t="shared" si="33"/>
        <v>0</v>
      </c>
      <c r="V133" s="1020">
        <f t="shared" si="34"/>
        <v>0</v>
      </c>
      <c r="W133" s="1020">
        <f t="shared" si="41"/>
        <v>0</v>
      </c>
      <c r="X133" s="1020">
        <f t="shared" si="35"/>
        <v>0</v>
      </c>
      <c r="Y133" s="1020">
        <f t="shared" si="36"/>
        <v>0</v>
      </c>
      <c r="Z133" s="842">
        <f t="shared" si="51"/>
        <v>0</v>
      </c>
      <c r="AA133" s="842">
        <f t="shared" si="37"/>
        <v>0</v>
      </c>
      <c r="AB133" s="842">
        <f t="shared" si="37"/>
        <v>0</v>
      </c>
      <c r="AC133" s="842">
        <f t="shared" si="46"/>
        <v>0</v>
      </c>
      <c r="AD133" s="1020">
        <f t="shared" si="43"/>
        <v>0</v>
      </c>
      <c r="AE133" s="1537">
        <f t="shared" si="44"/>
        <v>0</v>
      </c>
    </row>
    <row r="134" spans="1:31" s="1024" customFormat="1" ht="30.75" hidden="1" customHeight="1">
      <c r="A134" s="2064"/>
      <c r="B134" s="2065"/>
      <c r="C134" s="843"/>
      <c r="D134" s="843"/>
      <c r="E134" s="840"/>
      <c r="F134" s="841"/>
      <c r="G134" s="841" t="s">
        <v>1200</v>
      </c>
      <c r="H134" s="841">
        <f t="shared" si="27"/>
        <v>240</v>
      </c>
      <c r="I134" s="840">
        <f t="shared" si="50"/>
        <v>0.99</v>
      </c>
      <c r="J134" s="840"/>
      <c r="K134" s="840">
        <f t="shared" si="39"/>
        <v>0.84</v>
      </c>
      <c r="L134" s="840">
        <f t="shared" si="28"/>
        <v>1.04</v>
      </c>
      <c r="M134" s="1020">
        <f t="shared" si="29"/>
        <v>0</v>
      </c>
      <c r="N134" s="1020">
        <f t="shared" si="48"/>
        <v>0</v>
      </c>
      <c r="O134" s="1020">
        <f t="shared" si="30"/>
        <v>0</v>
      </c>
      <c r="P134" s="1020">
        <f t="shared" si="31"/>
        <v>0</v>
      </c>
      <c r="Q134" s="1020">
        <f t="shared" si="49"/>
        <v>0</v>
      </c>
      <c r="R134" s="1020">
        <v>0.2</v>
      </c>
      <c r="S134" s="1020">
        <f t="shared" si="32"/>
        <v>0</v>
      </c>
      <c r="T134" s="1020">
        <f t="shared" si="40"/>
        <v>0</v>
      </c>
      <c r="U134" s="1020">
        <f t="shared" si="33"/>
        <v>0</v>
      </c>
      <c r="V134" s="1020">
        <f t="shared" si="34"/>
        <v>0</v>
      </c>
      <c r="W134" s="1020">
        <f t="shared" si="41"/>
        <v>0</v>
      </c>
      <c r="X134" s="1020">
        <f t="shared" si="35"/>
        <v>0</v>
      </c>
      <c r="Y134" s="1020">
        <f t="shared" si="36"/>
        <v>0</v>
      </c>
      <c r="Z134" s="842">
        <f t="shared" si="51"/>
        <v>0</v>
      </c>
      <c r="AA134" s="842">
        <f t="shared" si="37"/>
        <v>0</v>
      </c>
      <c r="AB134" s="842">
        <f t="shared" si="37"/>
        <v>0</v>
      </c>
      <c r="AC134" s="842">
        <f t="shared" si="46"/>
        <v>0</v>
      </c>
      <c r="AD134" s="1020">
        <f t="shared" si="43"/>
        <v>0</v>
      </c>
      <c r="AE134" s="1537">
        <f t="shared" si="44"/>
        <v>0</v>
      </c>
    </row>
    <row r="135" spans="1:31" s="1024" customFormat="1" ht="30.75" hidden="1" customHeight="1">
      <c r="A135" s="2064"/>
      <c r="B135" s="2065"/>
      <c r="C135" s="843"/>
      <c r="D135" s="843"/>
      <c r="E135" s="840"/>
      <c r="F135" s="841"/>
      <c r="G135" s="841" t="s">
        <v>1200</v>
      </c>
      <c r="H135" s="841">
        <f t="shared" si="27"/>
        <v>240</v>
      </c>
      <c r="I135" s="840">
        <f t="shared" si="50"/>
        <v>0.99</v>
      </c>
      <c r="J135" s="840"/>
      <c r="K135" s="840">
        <f t="shared" si="39"/>
        <v>0.84</v>
      </c>
      <c r="L135" s="840">
        <f t="shared" si="28"/>
        <v>1.04</v>
      </c>
      <c r="M135" s="1020">
        <f t="shared" si="29"/>
        <v>0</v>
      </c>
      <c r="N135" s="1020">
        <f t="shared" si="48"/>
        <v>0</v>
      </c>
      <c r="O135" s="1020">
        <f t="shared" si="30"/>
        <v>0</v>
      </c>
      <c r="P135" s="1020">
        <f t="shared" si="31"/>
        <v>0</v>
      </c>
      <c r="Q135" s="1020">
        <f t="shared" si="49"/>
        <v>0</v>
      </c>
      <c r="R135" s="1020">
        <v>0.2</v>
      </c>
      <c r="S135" s="1020">
        <f t="shared" si="32"/>
        <v>0</v>
      </c>
      <c r="T135" s="1020">
        <f t="shared" si="40"/>
        <v>0</v>
      </c>
      <c r="U135" s="1020">
        <f t="shared" si="33"/>
        <v>0</v>
      </c>
      <c r="V135" s="1020">
        <f t="shared" si="34"/>
        <v>0</v>
      </c>
      <c r="W135" s="1020">
        <f t="shared" si="41"/>
        <v>0</v>
      </c>
      <c r="X135" s="1020">
        <f t="shared" si="35"/>
        <v>0</v>
      </c>
      <c r="Y135" s="1020">
        <f t="shared" si="36"/>
        <v>0</v>
      </c>
      <c r="Z135" s="842">
        <f t="shared" si="51"/>
        <v>0</v>
      </c>
      <c r="AA135" s="842">
        <f t="shared" si="37"/>
        <v>0</v>
      </c>
      <c r="AB135" s="842">
        <f t="shared" si="37"/>
        <v>0</v>
      </c>
      <c r="AC135" s="842">
        <f t="shared" si="46"/>
        <v>0</v>
      </c>
      <c r="AD135" s="1020">
        <f t="shared" si="43"/>
        <v>0</v>
      </c>
      <c r="AE135" s="1537">
        <f t="shared" si="44"/>
        <v>0</v>
      </c>
    </row>
    <row r="136" spans="1:31" s="1024" customFormat="1" ht="30.75" hidden="1" customHeight="1">
      <c r="A136" s="2064"/>
      <c r="B136" s="2065"/>
      <c r="C136" s="843"/>
      <c r="D136" s="843"/>
      <c r="E136" s="840"/>
      <c r="F136" s="841"/>
      <c r="G136" s="841" t="s">
        <v>1200</v>
      </c>
      <c r="H136" s="841">
        <f t="shared" si="27"/>
        <v>240</v>
      </c>
      <c r="I136" s="840">
        <f t="shared" si="50"/>
        <v>0.99</v>
      </c>
      <c r="J136" s="840"/>
      <c r="K136" s="840">
        <f t="shared" si="39"/>
        <v>0.84</v>
      </c>
      <c r="L136" s="840">
        <f t="shared" si="28"/>
        <v>1.04</v>
      </c>
      <c r="M136" s="1020">
        <f t="shared" si="29"/>
        <v>0</v>
      </c>
      <c r="N136" s="1020">
        <f t="shared" si="48"/>
        <v>0</v>
      </c>
      <c r="O136" s="1020">
        <f t="shared" si="30"/>
        <v>0</v>
      </c>
      <c r="P136" s="1020">
        <f t="shared" si="31"/>
        <v>0</v>
      </c>
      <c r="Q136" s="1020">
        <f t="shared" si="49"/>
        <v>0</v>
      </c>
      <c r="R136" s="1020">
        <v>0.2</v>
      </c>
      <c r="S136" s="1020">
        <f t="shared" si="32"/>
        <v>0</v>
      </c>
      <c r="T136" s="1020">
        <f t="shared" si="40"/>
        <v>0</v>
      </c>
      <c r="U136" s="1020">
        <f t="shared" si="33"/>
        <v>0</v>
      </c>
      <c r="V136" s="1020">
        <f t="shared" si="34"/>
        <v>0</v>
      </c>
      <c r="W136" s="1020">
        <f t="shared" si="41"/>
        <v>0</v>
      </c>
      <c r="X136" s="1020">
        <f t="shared" si="35"/>
        <v>0</v>
      </c>
      <c r="Y136" s="1020">
        <f t="shared" si="36"/>
        <v>0</v>
      </c>
      <c r="Z136" s="842">
        <f t="shared" si="51"/>
        <v>0</v>
      </c>
      <c r="AA136" s="842">
        <f t="shared" si="37"/>
        <v>0</v>
      </c>
      <c r="AB136" s="842">
        <f t="shared" si="37"/>
        <v>0</v>
      </c>
      <c r="AC136" s="842">
        <f t="shared" si="46"/>
        <v>0</v>
      </c>
      <c r="AD136" s="1020">
        <f t="shared" si="43"/>
        <v>0</v>
      </c>
      <c r="AE136" s="1537">
        <f t="shared" si="44"/>
        <v>0</v>
      </c>
    </row>
    <row r="137" spans="1:31" s="1024" customFormat="1" ht="30.75" hidden="1" customHeight="1">
      <c r="A137" s="2064"/>
      <c r="B137" s="2065"/>
      <c r="C137" s="843"/>
      <c r="D137" s="843"/>
      <c r="E137" s="840"/>
      <c r="F137" s="841"/>
      <c r="G137" s="841" t="s">
        <v>1200</v>
      </c>
      <c r="H137" s="841">
        <f t="shared" ref="H137:H176" si="52">IF(F137=400,F137+80,IF(F137=500,F137+100,IF(F137=600,F137+120,IF(F137=800,F137+144,IF(F137=1000,F137+160,IF(F137=1200,F137+192,F137+240))))))</f>
        <v>240</v>
      </c>
      <c r="I137" s="840">
        <f t="shared" si="50"/>
        <v>0.99</v>
      </c>
      <c r="J137" s="840"/>
      <c r="K137" s="840">
        <f t="shared" si="39"/>
        <v>0.84</v>
      </c>
      <c r="L137" s="840">
        <f t="shared" ref="L137:L174" si="53">K137+R137</f>
        <v>1.04</v>
      </c>
      <c r="M137" s="1020">
        <f t="shared" ref="M137:M174" si="54">ROUND(E137*I137*L137,2)</f>
        <v>0</v>
      </c>
      <c r="N137" s="1020">
        <f t="shared" si="48"/>
        <v>0</v>
      </c>
      <c r="O137" s="1020">
        <f t="shared" ref="O137:O174" si="55">N137</f>
        <v>0</v>
      </c>
      <c r="P137" s="1020">
        <f t="shared" ref="P137:P174" si="56">N137-O137</f>
        <v>0</v>
      </c>
      <c r="Q137" s="1020">
        <f t="shared" si="49"/>
        <v>0</v>
      </c>
      <c r="R137" s="1020">
        <v>0.2</v>
      </c>
      <c r="S137" s="1020">
        <f t="shared" ref="S137:S174" si="57">ROUND(E137*I137*R137,2)</f>
        <v>0</v>
      </c>
      <c r="T137" s="1020">
        <f t="shared" si="40"/>
        <v>0</v>
      </c>
      <c r="U137" s="1020">
        <f t="shared" ref="U137:U174" si="58">ROUND(3.1416*((H137/1000/2)^2)*E137,2)</f>
        <v>0</v>
      </c>
      <c r="V137" s="1020">
        <f t="shared" ref="V137:V174" si="59">(N137+Q137)-S137-U137</f>
        <v>0</v>
      </c>
      <c r="W137" s="1020">
        <f t="shared" si="41"/>
        <v>0</v>
      </c>
      <c r="X137" s="1020">
        <f t="shared" ref="X137:X174" si="60">O137</f>
        <v>0</v>
      </c>
      <c r="Y137" s="1020">
        <f t="shared" ref="Y137:Y174" si="61">Q137+P137</f>
        <v>0</v>
      </c>
      <c r="Z137" s="842">
        <f t="shared" si="51"/>
        <v>0</v>
      </c>
      <c r="AA137" s="842">
        <f t="shared" ref="AA137:AB174" si="62">ROUND(W137*22,2)</f>
        <v>0</v>
      </c>
      <c r="AB137" s="842">
        <f t="shared" si="62"/>
        <v>0</v>
      </c>
      <c r="AC137" s="842">
        <f t="shared" si="46"/>
        <v>0</v>
      </c>
      <c r="AD137" s="1020">
        <f t="shared" si="43"/>
        <v>0</v>
      </c>
      <c r="AE137" s="1537">
        <f t="shared" si="44"/>
        <v>0</v>
      </c>
    </row>
    <row r="138" spans="1:31" s="1024" customFormat="1" ht="30.75" hidden="1" customHeight="1">
      <c r="A138" s="2064"/>
      <c r="B138" s="2065"/>
      <c r="C138" s="843"/>
      <c r="D138" s="843"/>
      <c r="E138" s="840"/>
      <c r="F138" s="841"/>
      <c r="G138" s="841" t="s">
        <v>1200</v>
      </c>
      <c r="H138" s="841">
        <f t="shared" si="52"/>
        <v>240</v>
      </c>
      <c r="I138" s="840">
        <f t="shared" si="50"/>
        <v>0.99</v>
      </c>
      <c r="J138" s="840"/>
      <c r="K138" s="840">
        <f t="shared" ref="K138:K174" si="63">IF(J138&lt;H138/1000+0.6,H138/1000+0.6,J138)</f>
        <v>0.84</v>
      </c>
      <c r="L138" s="840">
        <f t="shared" si="53"/>
        <v>1.04</v>
      </c>
      <c r="M138" s="1020">
        <f t="shared" si="54"/>
        <v>0</v>
      </c>
      <c r="N138" s="1020">
        <f t="shared" si="48"/>
        <v>0</v>
      </c>
      <c r="O138" s="1020">
        <f t="shared" si="55"/>
        <v>0</v>
      </c>
      <c r="P138" s="1020">
        <f t="shared" si="56"/>
        <v>0</v>
      </c>
      <c r="Q138" s="1020">
        <f t="shared" si="49"/>
        <v>0</v>
      </c>
      <c r="R138" s="1020">
        <v>0.2</v>
      </c>
      <c r="S138" s="1020">
        <f t="shared" si="57"/>
        <v>0</v>
      </c>
      <c r="T138" s="1020">
        <f t="shared" ref="T138:T176" si="64">E138*I138</f>
        <v>0</v>
      </c>
      <c r="U138" s="1020">
        <f t="shared" si="58"/>
        <v>0</v>
      </c>
      <c r="V138" s="1020">
        <f t="shared" si="59"/>
        <v>0</v>
      </c>
      <c r="W138" s="1020">
        <f t="shared" ref="W138:W174" si="65">M138-(U138+S138+O138)</f>
        <v>0</v>
      </c>
      <c r="X138" s="1020">
        <f t="shared" si="60"/>
        <v>0</v>
      </c>
      <c r="Y138" s="1020">
        <f t="shared" si="61"/>
        <v>0</v>
      </c>
      <c r="Z138" s="842">
        <f t="shared" si="51"/>
        <v>0</v>
      </c>
      <c r="AA138" s="842">
        <f t="shared" si="62"/>
        <v>0</v>
      </c>
      <c r="AB138" s="842">
        <f t="shared" si="62"/>
        <v>0</v>
      </c>
      <c r="AC138" s="842">
        <f t="shared" si="46"/>
        <v>0</v>
      </c>
      <c r="AD138" s="1020">
        <f t="shared" ref="AD138:AD174" si="66">IF(OR(L138&gt;1.8,L138&lt;1.5),,L138*E138*2)</f>
        <v>0</v>
      </c>
      <c r="AE138" s="1537">
        <f t="shared" ref="AE138:AE174" si="67">IF(OR(L138=1.8,L138&gt;1.8),L138*E138*2,)</f>
        <v>0</v>
      </c>
    </row>
    <row r="139" spans="1:31" s="1024" customFormat="1" ht="30.75" hidden="1" customHeight="1">
      <c r="A139" s="2064"/>
      <c r="B139" s="2065"/>
      <c r="C139" s="843"/>
      <c r="D139" s="843"/>
      <c r="E139" s="840"/>
      <c r="F139" s="841"/>
      <c r="G139" s="841" t="s">
        <v>1200</v>
      </c>
      <c r="H139" s="841">
        <f t="shared" si="52"/>
        <v>240</v>
      </c>
      <c r="I139" s="840">
        <f t="shared" si="50"/>
        <v>0.99</v>
      </c>
      <c r="J139" s="840"/>
      <c r="K139" s="840">
        <f t="shared" si="63"/>
        <v>0.84</v>
      </c>
      <c r="L139" s="840">
        <f t="shared" si="53"/>
        <v>1.04</v>
      </c>
      <c r="M139" s="1020">
        <f t="shared" si="54"/>
        <v>0</v>
      </c>
      <c r="N139" s="1020">
        <f t="shared" si="48"/>
        <v>0</v>
      </c>
      <c r="O139" s="1020">
        <f t="shared" si="55"/>
        <v>0</v>
      </c>
      <c r="P139" s="1020">
        <f t="shared" si="56"/>
        <v>0</v>
      </c>
      <c r="Q139" s="1020">
        <f t="shared" si="49"/>
        <v>0</v>
      </c>
      <c r="R139" s="1020">
        <v>0.2</v>
      </c>
      <c r="S139" s="1020">
        <f t="shared" si="57"/>
        <v>0</v>
      </c>
      <c r="T139" s="1020">
        <f t="shared" si="64"/>
        <v>0</v>
      </c>
      <c r="U139" s="1020">
        <f t="shared" si="58"/>
        <v>0</v>
      </c>
      <c r="V139" s="1020">
        <f t="shared" si="59"/>
        <v>0</v>
      </c>
      <c r="W139" s="1020">
        <f t="shared" si="65"/>
        <v>0</v>
      </c>
      <c r="X139" s="1020">
        <f t="shared" si="60"/>
        <v>0</v>
      </c>
      <c r="Y139" s="1020">
        <f t="shared" si="61"/>
        <v>0</v>
      </c>
      <c r="Z139" s="842">
        <f t="shared" si="51"/>
        <v>0</v>
      </c>
      <c r="AA139" s="842">
        <f t="shared" si="62"/>
        <v>0</v>
      </c>
      <c r="AB139" s="842">
        <f t="shared" si="62"/>
        <v>0</v>
      </c>
      <c r="AC139" s="842">
        <f t="shared" si="46"/>
        <v>0</v>
      </c>
      <c r="AD139" s="1020">
        <f t="shared" si="66"/>
        <v>0</v>
      </c>
      <c r="AE139" s="1537">
        <f t="shared" si="67"/>
        <v>0</v>
      </c>
    </row>
    <row r="140" spans="1:31" s="1024" customFormat="1" ht="30.75" hidden="1" customHeight="1">
      <c r="A140" s="2064"/>
      <c r="B140" s="2065"/>
      <c r="C140" s="843"/>
      <c r="D140" s="843"/>
      <c r="E140" s="840"/>
      <c r="F140" s="841"/>
      <c r="G140" s="841" t="s">
        <v>1200</v>
      </c>
      <c r="H140" s="841">
        <f t="shared" si="52"/>
        <v>240</v>
      </c>
      <c r="I140" s="840">
        <f t="shared" si="50"/>
        <v>0.99</v>
      </c>
      <c r="J140" s="840"/>
      <c r="K140" s="840">
        <f t="shared" si="63"/>
        <v>0.84</v>
      </c>
      <c r="L140" s="840">
        <f t="shared" si="53"/>
        <v>1.04</v>
      </c>
      <c r="M140" s="1020">
        <f t="shared" si="54"/>
        <v>0</v>
      </c>
      <c r="N140" s="1020">
        <f t="shared" si="48"/>
        <v>0</v>
      </c>
      <c r="O140" s="1020">
        <f t="shared" si="55"/>
        <v>0</v>
      </c>
      <c r="P140" s="1020">
        <f t="shared" si="56"/>
        <v>0</v>
      </c>
      <c r="Q140" s="1020">
        <f t="shared" si="49"/>
        <v>0</v>
      </c>
      <c r="R140" s="1020">
        <v>0.2</v>
      </c>
      <c r="S140" s="1020">
        <f t="shared" si="57"/>
        <v>0</v>
      </c>
      <c r="T140" s="1020">
        <f t="shared" si="64"/>
        <v>0</v>
      </c>
      <c r="U140" s="1020">
        <f t="shared" si="58"/>
        <v>0</v>
      </c>
      <c r="V140" s="1020">
        <f t="shared" si="59"/>
        <v>0</v>
      </c>
      <c r="W140" s="1020">
        <f t="shared" si="65"/>
        <v>0</v>
      </c>
      <c r="X140" s="1020">
        <f t="shared" si="60"/>
        <v>0</v>
      </c>
      <c r="Y140" s="1020">
        <f t="shared" si="61"/>
        <v>0</v>
      </c>
      <c r="Z140" s="842">
        <f t="shared" si="51"/>
        <v>0</v>
      </c>
      <c r="AA140" s="842">
        <f t="shared" si="62"/>
        <v>0</v>
      </c>
      <c r="AB140" s="842">
        <f t="shared" si="62"/>
        <v>0</v>
      </c>
      <c r="AC140" s="842">
        <f t="shared" si="46"/>
        <v>0</v>
      </c>
      <c r="AD140" s="1020">
        <f t="shared" si="66"/>
        <v>0</v>
      </c>
      <c r="AE140" s="1537">
        <f t="shared" si="67"/>
        <v>0</v>
      </c>
    </row>
    <row r="141" spans="1:31" s="1024" customFormat="1" ht="30.75" hidden="1" customHeight="1">
      <c r="A141" s="2064"/>
      <c r="B141" s="2065"/>
      <c r="C141" s="843"/>
      <c r="D141" s="843"/>
      <c r="E141" s="840"/>
      <c r="F141" s="841"/>
      <c r="G141" s="841" t="s">
        <v>1200</v>
      </c>
      <c r="H141" s="841">
        <f t="shared" si="52"/>
        <v>240</v>
      </c>
      <c r="I141" s="840">
        <f t="shared" si="50"/>
        <v>0.99</v>
      </c>
      <c r="J141" s="840"/>
      <c r="K141" s="840">
        <f t="shared" si="63"/>
        <v>0.84</v>
      </c>
      <c r="L141" s="840">
        <f t="shared" si="53"/>
        <v>1.04</v>
      </c>
      <c r="M141" s="1020">
        <f t="shared" si="54"/>
        <v>0</v>
      </c>
      <c r="N141" s="1020">
        <f t="shared" si="48"/>
        <v>0</v>
      </c>
      <c r="O141" s="1020">
        <f t="shared" si="55"/>
        <v>0</v>
      </c>
      <c r="P141" s="1020">
        <f t="shared" si="56"/>
        <v>0</v>
      </c>
      <c r="Q141" s="1020">
        <f t="shared" si="49"/>
        <v>0</v>
      </c>
      <c r="R141" s="1020">
        <v>0.2</v>
      </c>
      <c r="S141" s="1020">
        <f t="shared" si="57"/>
        <v>0</v>
      </c>
      <c r="T141" s="1020">
        <f t="shared" si="64"/>
        <v>0</v>
      </c>
      <c r="U141" s="1020">
        <f t="shared" si="58"/>
        <v>0</v>
      </c>
      <c r="V141" s="1020">
        <f t="shared" si="59"/>
        <v>0</v>
      </c>
      <c r="W141" s="1020">
        <f t="shared" si="65"/>
        <v>0</v>
      </c>
      <c r="X141" s="1020">
        <f t="shared" si="60"/>
        <v>0</v>
      </c>
      <c r="Y141" s="1020">
        <f t="shared" si="61"/>
        <v>0</v>
      </c>
      <c r="Z141" s="842">
        <f t="shared" si="51"/>
        <v>0</v>
      </c>
      <c r="AA141" s="842">
        <f t="shared" si="62"/>
        <v>0</v>
      </c>
      <c r="AB141" s="842">
        <f t="shared" si="62"/>
        <v>0</v>
      </c>
      <c r="AC141" s="842">
        <f t="shared" si="46"/>
        <v>0</v>
      </c>
      <c r="AD141" s="1020">
        <f t="shared" si="66"/>
        <v>0</v>
      </c>
      <c r="AE141" s="1537">
        <f t="shared" si="67"/>
        <v>0</v>
      </c>
    </row>
    <row r="142" spans="1:31" s="1024" customFormat="1" ht="30.75" hidden="1" customHeight="1">
      <c r="A142" s="2064"/>
      <c r="B142" s="2065"/>
      <c r="C142" s="843"/>
      <c r="D142" s="843"/>
      <c r="E142" s="840"/>
      <c r="F142" s="841"/>
      <c r="G142" s="841" t="s">
        <v>1200</v>
      </c>
      <c r="H142" s="841">
        <f t="shared" si="52"/>
        <v>240</v>
      </c>
      <c r="I142" s="840">
        <f t="shared" si="50"/>
        <v>0.99</v>
      </c>
      <c r="J142" s="840"/>
      <c r="K142" s="840">
        <f t="shared" si="63"/>
        <v>0.84</v>
      </c>
      <c r="L142" s="840">
        <f t="shared" si="53"/>
        <v>1.04</v>
      </c>
      <c r="M142" s="1020">
        <f t="shared" si="54"/>
        <v>0</v>
      </c>
      <c r="N142" s="1020">
        <f t="shared" si="48"/>
        <v>0</v>
      </c>
      <c r="O142" s="1020">
        <f t="shared" si="55"/>
        <v>0</v>
      </c>
      <c r="P142" s="1020">
        <f t="shared" si="56"/>
        <v>0</v>
      </c>
      <c r="Q142" s="1020">
        <f t="shared" si="49"/>
        <v>0</v>
      </c>
      <c r="R142" s="1020">
        <v>0.2</v>
      </c>
      <c r="S142" s="1020">
        <f t="shared" si="57"/>
        <v>0</v>
      </c>
      <c r="T142" s="1020">
        <f t="shared" si="64"/>
        <v>0</v>
      </c>
      <c r="U142" s="1020">
        <f t="shared" si="58"/>
        <v>0</v>
      </c>
      <c r="V142" s="1020">
        <f t="shared" si="59"/>
        <v>0</v>
      </c>
      <c r="W142" s="1020">
        <f t="shared" si="65"/>
        <v>0</v>
      </c>
      <c r="X142" s="1020">
        <f t="shared" si="60"/>
        <v>0</v>
      </c>
      <c r="Y142" s="1020">
        <f t="shared" si="61"/>
        <v>0</v>
      </c>
      <c r="Z142" s="842">
        <f t="shared" si="51"/>
        <v>0</v>
      </c>
      <c r="AA142" s="842">
        <f t="shared" si="62"/>
        <v>0</v>
      </c>
      <c r="AB142" s="842">
        <f t="shared" si="62"/>
        <v>0</v>
      </c>
      <c r="AC142" s="842">
        <f t="shared" si="46"/>
        <v>0</v>
      </c>
      <c r="AD142" s="1020">
        <f t="shared" si="66"/>
        <v>0</v>
      </c>
      <c r="AE142" s="1537">
        <f t="shared" si="67"/>
        <v>0</v>
      </c>
    </row>
    <row r="143" spans="1:31" s="1024" customFormat="1" ht="30.75" hidden="1" customHeight="1">
      <c r="A143" s="2064"/>
      <c r="B143" s="2065"/>
      <c r="C143" s="843"/>
      <c r="D143" s="843"/>
      <c r="E143" s="840"/>
      <c r="F143" s="841"/>
      <c r="G143" s="841" t="s">
        <v>1200</v>
      </c>
      <c r="H143" s="841">
        <f t="shared" si="52"/>
        <v>240</v>
      </c>
      <c r="I143" s="840">
        <f t="shared" si="50"/>
        <v>0.99</v>
      </c>
      <c r="J143" s="840"/>
      <c r="K143" s="840">
        <f t="shared" si="63"/>
        <v>0.84</v>
      </c>
      <c r="L143" s="840">
        <f t="shared" si="53"/>
        <v>1.04</v>
      </c>
      <c r="M143" s="1020">
        <f t="shared" si="54"/>
        <v>0</v>
      </c>
      <c r="N143" s="1020">
        <f t="shared" si="48"/>
        <v>0</v>
      </c>
      <c r="O143" s="1020">
        <f t="shared" si="55"/>
        <v>0</v>
      </c>
      <c r="P143" s="1020">
        <f t="shared" si="56"/>
        <v>0</v>
      </c>
      <c r="Q143" s="1020">
        <f t="shared" si="49"/>
        <v>0</v>
      </c>
      <c r="R143" s="1020">
        <v>0.2</v>
      </c>
      <c r="S143" s="1020">
        <f t="shared" si="57"/>
        <v>0</v>
      </c>
      <c r="T143" s="1020">
        <f t="shared" si="64"/>
        <v>0</v>
      </c>
      <c r="U143" s="1020">
        <f t="shared" si="58"/>
        <v>0</v>
      </c>
      <c r="V143" s="1020">
        <f t="shared" si="59"/>
        <v>0</v>
      </c>
      <c r="W143" s="1020">
        <f t="shared" si="65"/>
        <v>0</v>
      </c>
      <c r="X143" s="1020">
        <f t="shared" si="60"/>
        <v>0</v>
      </c>
      <c r="Y143" s="1020">
        <f t="shared" si="61"/>
        <v>0</v>
      </c>
      <c r="Z143" s="842">
        <f t="shared" si="51"/>
        <v>0</v>
      </c>
      <c r="AA143" s="842">
        <f t="shared" si="62"/>
        <v>0</v>
      </c>
      <c r="AB143" s="842">
        <f t="shared" si="62"/>
        <v>0</v>
      </c>
      <c r="AC143" s="842">
        <f t="shared" si="46"/>
        <v>0</v>
      </c>
      <c r="AD143" s="1020">
        <f t="shared" si="66"/>
        <v>0</v>
      </c>
      <c r="AE143" s="1537">
        <f t="shared" si="67"/>
        <v>0</v>
      </c>
    </row>
    <row r="144" spans="1:31" s="1024" customFormat="1" ht="30.75" hidden="1" customHeight="1">
      <c r="A144" s="2064"/>
      <c r="B144" s="2065"/>
      <c r="C144" s="843"/>
      <c r="D144" s="843"/>
      <c r="E144" s="840"/>
      <c r="F144" s="841"/>
      <c r="G144" s="841" t="s">
        <v>1200</v>
      </c>
      <c r="H144" s="841">
        <f t="shared" si="52"/>
        <v>240</v>
      </c>
      <c r="I144" s="840">
        <f t="shared" si="50"/>
        <v>0.99</v>
      </c>
      <c r="J144" s="840"/>
      <c r="K144" s="840">
        <f t="shared" si="63"/>
        <v>0.84</v>
      </c>
      <c r="L144" s="840">
        <f t="shared" si="53"/>
        <v>1.04</v>
      </c>
      <c r="M144" s="1020">
        <f t="shared" si="54"/>
        <v>0</v>
      </c>
      <c r="N144" s="1020">
        <f t="shared" si="48"/>
        <v>0</v>
      </c>
      <c r="O144" s="1020">
        <f t="shared" si="55"/>
        <v>0</v>
      </c>
      <c r="P144" s="1020">
        <f t="shared" si="56"/>
        <v>0</v>
      </c>
      <c r="Q144" s="1020">
        <f t="shared" si="49"/>
        <v>0</v>
      </c>
      <c r="R144" s="1020">
        <v>0.2</v>
      </c>
      <c r="S144" s="1020">
        <f t="shared" si="57"/>
        <v>0</v>
      </c>
      <c r="T144" s="1020">
        <f t="shared" si="64"/>
        <v>0</v>
      </c>
      <c r="U144" s="1020">
        <f t="shared" si="58"/>
        <v>0</v>
      </c>
      <c r="V144" s="1020">
        <f t="shared" si="59"/>
        <v>0</v>
      </c>
      <c r="W144" s="1020">
        <f t="shared" si="65"/>
        <v>0</v>
      </c>
      <c r="X144" s="1020">
        <f t="shared" si="60"/>
        <v>0</v>
      </c>
      <c r="Y144" s="1020">
        <f t="shared" si="61"/>
        <v>0</v>
      </c>
      <c r="Z144" s="842">
        <f t="shared" si="51"/>
        <v>0</v>
      </c>
      <c r="AA144" s="842">
        <f t="shared" si="62"/>
        <v>0</v>
      </c>
      <c r="AB144" s="842">
        <f t="shared" si="62"/>
        <v>0</v>
      </c>
      <c r="AC144" s="842">
        <f t="shared" si="46"/>
        <v>0</v>
      </c>
      <c r="AD144" s="1020">
        <f t="shared" si="66"/>
        <v>0</v>
      </c>
      <c r="AE144" s="1537">
        <f t="shared" si="67"/>
        <v>0</v>
      </c>
    </row>
    <row r="145" spans="1:31" s="1024" customFormat="1" ht="30.75" hidden="1" customHeight="1">
      <c r="A145" s="2064"/>
      <c r="B145" s="2065"/>
      <c r="C145" s="843"/>
      <c r="D145" s="843"/>
      <c r="E145" s="840"/>
      <c r="F145" s="841"/>
      <c r="G145" s="841" t="s">
        <v>1200</v>
      </c>
      <c r="H145" s="841">
        <f t="shared" si="52"/>
        <v>240</v>
      </c>
      <c r="I145" s="840">
        <f t="shared" si="50"/>
        <v>0.99</v>
      </c>
      <c r="J145" s="840"/>
      <c r="K145" s="840">
        <f t="shared" si="63"/>
        <v>0.84</v>
      </c>
      <c r="L145" s="840">
        <f t="shared" si="53"/>
        <v>1.04</v>
      </c>
      <c r="M145" s="1020">
        <f t="shared" si="54"/>
        <v>0</v>
      </c>
      <c r="N145" s="1020">
        <f t="shared" si="48"/>
        <v>0</v>
      </c>
      <c r="O145" s="1020">
        <f t="shared" si="55"/>
        <v>0</v>
      </c>
      <c r="P145" s="1020">
        <f t="shared" si="56"/>
        <v>0</v>
      </c>
      <c r="Q145" s="1020">
        <f t="shared" si="49"/>
        <v>0</v>
      </c>
      <c r="R145" s="1020">
        <v>0.2</v>
      </c>
      <c r="S145" s="1020">
        <f t="shared" si="57"/>
        <v>0</v>
      </c>
      <c r="T145" s="1020">
        <f t="shared" si="64"/>
        <v>0</v>
      </c>
      <c r="U145" s="1020">
        <f t="shared" si="58"/>
        <v>0</v>
      </c>
      <c r="V145" s="1020">
        <f t="shared" si="59"/>
        <v>0</v>
      </c>
      <c r="W145" s="1020">
        <f t="shared" si="65"/>
        <v>0</v>
      </c>
      <c r="X145" s="1020">
        <f t="shared" si="60"/>
        <v>0</v>
      </c>
      <c r="Y145" s="1020">
        <f t="shared" si="61"/>
        <v>0</v>
      </c>
      <c r="Z145" s="842">
        <f t="shared" si="51"/>
        <v>0</v>
      </c>
      <c r="AA145" s="842">
        <f t="shared" si="62"/>
        <v>0</v>
      </c>
      <c r="AB145" s="842">
        <f t="shared" si="62"/>
        <v>0</v>
      </c>
      <c r="AC145" s="842">
        <f t="shared" ref="AC145:AC176" si="68">(E145/(20/8))*6.41</f>
        <v>0</v>
      </c>
      <c r="AD145" s="1020">
        <f t="shared" si="66"/>
        <v>0</v>
      </c>
      <c r="AE145" s="1537">
        <f t="shared" si="67"/>
        <v>0</v>
      </c>
    </row>
    <row r="146" spans="1:31" s="1024" customFormat="1" ht="30.75" hidden="1" customHeight="1">
      <c r="A146" s="2064"/>
      <c r="B146" s="2065"/>
      <c r="C146" s="843"/>
      <c r="D146" s="843"/>
      <c r="E146" s="840"/>
      <c r="F146" s="841"/>
      <c r="G146" s="841" t="s">
        <v>1200</v>
      </c>
      <c r="H146" s="841">
        <f t="shared" si="52"/>
        <v>240</v>
      </c>
      <c r="I146" s="840">
        <f t="shared" si="50"/>
        <v>0.99</v>
      </c>
      <c r="J146" s="840"/>
      <c r="K146" s="840">
        <f t="shared" si="63"/>
        <v>0.84</v>
      </c>
      <c r="L146" s="840">
        <f t="shared" si="53"/>
        <v>1.04</v>
      </c>
      <c r="M146" s="1020">
        <f t="shared" si="54"/>
        <v>0</v>
      </c>
      <c r="N146" s="1020">
        <f t="shared" si="48"/>
        <v>0</v>
      </c>
      <c r="O146" s="1020">
        <f t="shared" si="55"/>
        <v>0</v>
      </c>
      <c r="P146" s="1020">
        <f t="shared" si="56"/>
        <v>0</v>
      </c>
      <c r="Q146" s="1020">
        <f t="shared" si="49"/>
        <v>0</v>
      </c>
      <c r="R146" s="1020">
        <v>0.2</v>
      </c>
      <c r="S146" s="1020">
        <f t="shared" si="57"/>
        <v>0</v>
      </c>
      <c r="T146" s="1020">
        <f t="shared" si="64"/>
        <v>0</v>
      </c>
      <c r="U146" s="1020">
        <f t="shared" si="58"/>
        <v>0</v>
      </c>
      <c r="V146" s="1020">
        <f t="shared" si="59"/>
        <v>0</v>
      </c>
      <c r="W146" s="1020">
        <f t="shared" si="65"/>
        <v>0</v>
      </c>
      <c r="X146" s="1020">
        <f t="shared" si="60"/>
        <v>0</v>
      </c>
      <c r="Y146" s="1020">
        <f t="shared" si="61"/>
        <v>0</v>
      </c>
      <c r="Z146" s="842">
        <f t="shared" si="51"/>
        <v>0</v>
      </c>
      <c r="AA146" s="842">
        <f t="shared" si="62"/>
        <v>0</v>
      </c>
      <c r="AB146" s="842">
        <f t="shared" si="62"/>
        <v>0</v>
      </c>
      <c r="AC146" s="842">
        <f t="shared" si="68"/>
        <v>0</v>
      </c>
      <c r="AD146" s="1020">
        <f t="shared" si="66"/>
        <v>0</v>
      </c>
      <c r="AE146" s="1537">
        <f t="shared" si="67"/>
        <v>0</v>
      </c>
    </row>
    <row r="147" spans="1:31" s="1024" customFormat="1" ht="30.75" hidden="1" customHeight="1">
      <c r="A147" s="2064"/>
      <c r="B147" s="2065"/>
      <c r="C147" s="843"/>
      <c r="D147" s="843"/>
      <c r="E147" s="840"/>
      <c r="F147" s="841"/>
      <c r="G147" s="841" t="s">
        <v>1200</v>
      </c>
      <c r="H147" s="841">
        <f t="shared" si="52"/>
        <v>240</v>
      </c>
      <c r="I147" s="840">
        <f t="shared" si="50"/>
        <v>0.99</v>
      </c>
      <c r="J147" s="840"/>
      <c r="K147" s="840">
        <f t="shared" si="63"/>
        <v>0.84</v>
      </c>
      <c r="L147" s="840">
        <f t="shared" si="53"/>
        <v>1.04</v>
      </c>
      <c r="M147" s="1020">
        <f t="shared" si="54"/>
        <v>0</v>
      </c>
      <c r="N147" s="1020">
        <f t="shared" si="48"/>
        <v>0</v>
      </c>
      <c r="O147" s="1020">
        <f t="shared" si="55"/>
        <v>0</v>
      </c>
      <c r="P147" s="1020">
        <f t="shared" si="56"/>
        <v>0</v>
      </c>
      <c r="Q147" s="1020">
        <f t="shared" si="49"/>
        <v>0</v>
      </c>
      <c r="R147" s="1020">
        <v>0.2</v>
      </c>
      <c r="S147" s="1020">
        <f t="shared" si="57"/>
        <v>0</v>
      </c>
      <c r="T147" s="1020">
        <f t="shared" si="64"/>
        <v>0</v>
      </c>
      <c r="U147" s="1020">
        <f t="shared" si="58"/>
        <v>0</v>
      </c>
      <c r="V147" s="1020">
        <f t="shared" si="59"/>
        <v>0</v>
      </c>
      <c r="W147" s="1020">
        <f t="shared" si="65"/>
        <v>0</v>
      </c>
      <c r="X147" s="1020">
        <f t="shared" si="60"/>
        <v>0</v>
      </c>
      <c r="Y147" s="1020">
        <f t="shared" si="61"/>
        <v>0</v>
      </c>
      <c r="Z147" s="842">
        <f t="shared" si="51"/>
        <v>0</v>
      </c>
      <c r="AA147" s="842">
        <f t="shared" si="62"/>
        <v>0</v>
      </c>
      <c r="AB147" s="842">
        <f t="shared" si="62"/>
        <v>0</v>
      </c>
      <c r="AC147" s="842">
        <f t="shared" si="68"/>
        <v>0</v>
      </c>
      <c r="AD147" s="1020">
        <f t="shared" si="66"/>
        <v>0</v>
      </c>
      <c r="AE147" s="1537">
        <f t="shared" si="67"/>
        <v>0</v>
      </c>
    </row>
    <row r="148" spans="1:31" s="1024" customFormat="1" ht="30.75" hidden="1" customHeight="1">
      <c r="A148" s="2064"/>
      <c r="B148" s="2065"/>
      <c r="C148" s="843"/>
      <c r="D148" s="843"/>
      <c r="E148" s="840"/>
      <c r="F148" s="841"/>
      <c r="G148" s="841" t="s">
        <v>1200</v>
      </c>
      <c r="H148" s="841">
        <f t="shared" si="52"/>
        <v>240</v>
      </c>
      <c r="I148" s="840">
        <f t="shared" si="50"/>
        <v>0.99</v>
      </c>
      <c r="J148" s="840"/>
      <c r="K148" s="840">
        <f t="shared" si="63"/>
        <v>0.84</v>
      </c>
      <c r="L148" s="840">
        <f t="shared" si="53"/>
        <v>1.04</v>
      </c>
      <c r="M148" s="1020">
        <f t="shared" si="54"/>
        <v>0</v>
      </c>
      <c r="N148" s="1020">
        <f t="shared" ref="N148:N174" si="69">ROUND(E148*I148*L148,2)*0.4</f>
        <v>0</v>
      </c>
      <c r="O148" s="1020">
        <f t="shared" si="55"/>
        <v>0</v>
      </c>
      <c r="P148" s="1020">
        <f t="shared" si="56"/>
        <v>0</v>
      </c>
      <c r="Q148" s="1020">
        <f t="shared" ref="Q148:Q174" si="70">ROUND(E148*I148*L148,2)*0.6</f>
        <v>0</v>
      </c>
      <c r="R148" s="1020">
        <v>0.2</v>
      </c>
      <c r="S148" s="1020">
        <f t="shared" si="57"/>
        <v>0</v>
      </c>
      <c r="T148" s="1020">
        <f t="shared" si="64"/>
        <v>0</v>
      </c>
      <c r="U148" s="1020">
        <f t="shared" si="58"/>
        <v>0</v>
      </c>
      <c r="V148" s="1020">
        <f t="shared" si="59"/>
        <v>0</v>
      </c>
      <c r="W148" s="1020">
        <f t="shared" si="65"/>
        <v>0</v>
      </c>
      <c r="X148" s="1020">
        <f t="shared" si="60"/>
        <v>0</v>
      </c>
      <c r="Y148" s="1020">
        <f t="shared" si="61"/>
        <v>0</v>
      </c>
      <c r="Z148" s="842">
        <f t="shared" si="51"/>
        <v>0</v>
      </c>
      <c r="AA148" s="842">
        <f t="shared" si="62"/>
        <v>0</v>
      </c>
      <c r="AB148" s="842">
        <f t="shared" si="62"/>
        <v>0</v>
      </c>
      <c r="AC148" s="842">
        <f t="shared" si="68"/>
        <v>0</v>
      </c>
      <c r="AD148" s="1020">
        <f t="shared" si="66"/>
        <v>0</v>
      </c>
      <c r="AE148" s="1537">
        <f t="shared" si="67"/>
        <v>0</v>
      </c>
    </row>
    <row r="149" spans="1:31" s="1024" customFormat="1" ht="30.75" hidden="1" customHeight="1">
      <c r="A149" s="2064"/>
      <c r="B149" s="2065"/>
      <c r="C149" s="843"/>
      <c r="D149" s="843"/>
      <c r="E149" s="840"/>
      <c r="F149" s="841"/>
      <c r="G149" s="841" t="s">
        <v>1200</v>
      </c>
      <c r="H149" s="841">
        <f t="shared" si="52"/>
        <v>240</v>
      </c>
      <c r="I149" s="840">
        <f t="shared" si="50"/>
        <v>0.99</v>
      </c>
      <c r="J149" s="840"/>
      <c r="K149" s="840">
        <f t="shared" si="63"/>
        <v>0.84</v>
      </c>
      <c r="L149" s="840">
        <f t="shared" si="53"/>
        <v>1.04</v>
      </c>
      <c r="M149" s="1020">
        <f t="shared" si="54"/>
        <v>0</v>
      </c>
      <c r="N149" s="1020">
        <f t="shared" si="69"/>
        <v>0</v>
      </c>
      <c r="O149" s="1020">
        <f t="shared" si="55"/>
        <v>0</v>
      </c>
      <c r="P149" s="1020">
        <f t="shared" si="56"/>
        <v>0</v>
      </c>
      <c r="Q149" s="1020">
        <f t="shared" si="70"/>
        <v>0</v>
      </c>
      <c r="R149" s="1020">
        <v>0.2</v>
      </c>
      <c r="S149" s="1020">
        <f t="shared" si="57"/>
        <v>0</v>
      </c>
      <c r="T149" s="1020">
        <f t="shared" si="64"/>
        <v>0</v>
      </c>
      <c r="U149" s="1020">
        <f t="shared" si="58"/>
        <v>0</v>
      </c>
      <c r="V149" s="1020">
        <f t="shared" si="59"/>
        <v>0</v>
      </c>
      <c r="W149" s="1020">
        <f t="shared" si="65"/>
        <v>0</v>
      </c>
      <c r="X149" s="1020">
        <f t="shared" si="60"/>
        <v>0</v>
      </c>
      <c r="Y149" s="1020">
        <f t="shared" si="61"/>
        <v>0</v>
      </c>
      <c r="Z149" s="842">
        <f t="shared" si="51"/>
        <v>0</v>
      </c>
      <c r="AA149" s="842">
        <f t="shared" si="62"/>
        <v>0</v>
      </c>
      <c r="AB149" s="842">
        <f t="shared" si="62"/>
        <v>0</v>
      </c>
      <c r="AC149" s="842">
        <f t="shared" si="68"/>
        <v>0</v>
      </c>
      <c r="AD149" s="1020">
        <f t="shared" si="66"/>
        <v>0</v>
      </c>
      <c r="AE149" s="1537">
        <f t="shared" si="67"/>
        <v>0</v>
      </c>
    </row>
    <row r="150" spans="1:31" s="1024" customFormat="1" ht="30.75" hidden="1" customHeight="1">
      <c r="A150" s="2064"/>
      <c r="B150" s="2065"/>
      <c r="C150" s="843"/>
      <c r="D150" s="843"/>
      <c r="E150" s="840"/>
      <c r="F150" s="841"/>
      <c r="G150" s="841" t="s">
        <v>1200</v>
      </c>
      <c r="H150" s="841">
        <f t="shared" si="52"/>
        <v>240</v>
      </c>
      <c r="I150" s="840">
        <f t="shared" ref="I150:I174" si="71">IF(G150="S",H150/1000+0.75,IF(G150="D",(H150/1000+0.75)*2,IF(G150="T",(H150/1000+0.75)*3,(H150/1000+0.75)*4)))</f>
        <v>0.99</v>
      </c>
      <c r="J150" s="840"/>
      <c r="K150" s="840">
        <f t="shared" si="63"/>
        <v>0.84</v>
      </c>
      <c r="L150" s="840">
        <f t="shared" si="53"/>
        <v>1.04</v>
      </c>
      <c r="M150" s="1020">
        <f t="shared" si="54"/>
        <v>0</v>
      </c>
      <c r="N150" s="1020">
        <f t="shared" si="69"/>
        <v>0</v>
      </c>
      <c r="O150" s="1020">
        <f t="shared" si="55"/>
        <v>0</v>
      </c>
      <c r="P150" s="1020">
        <f t="shared" si="56"/>
        <v>0</v>
      </c>
      <c r="Q150" s="1020">
        <f t="shared" si="70"/>
        <v>0</v>
      </c>
      <c r="R150" s="1020">
        <v>0.2</v>
      </c>
      <c r="S150" s="1020">
        <f t="shared" si="57"/>
        <v>0</v>
      </c>
      <c r="T150" s="1020">
        <f t="shared" si="64"/>
        <v>0</v>
      </c>
      <c r="U150" s="1020">
        <f t="shared" si="58"/>
        <v>0</v>
      </c>
      <c r="V150" s="1020">
        <f t="shared" si="59"/>
        <v>0</v>
      </c>
      <c r="W150" s="1020">
        <f t="shared" si="65"/>
        <v>0</v>
      </c>
      <c r="X150" s="1020">
        <f t="shared" si="60"/>
        <v>0</v>
      </c>
      <c r="Y150" s="1020">
        <f t="shared" si="61"/>
        <v>0</v>
      </c>
      <c r="Z150" s="842">
        <f t="shared" si="51"/>
        <v>0</v>
      </c>
      <c r="AA150" s="842">
        <f t="shared" si="62"/>
        <v>0</v>
      </c>
      <c r="AB150" s="842">
        <f t="shared" si="62"/>
        <v>0</v>
      </c>
      <c r="AC150" s="842">
        <f t="shared" si="68"/>
        <v>0</v>
      </c>
      <c r="AD150" s="1020">
        <f t="shared" si="66"/>
        <v>0</v>
      </c>
      <c r="AE150" s="1537">
        <f t="shared" si="67"/>
        <v>0</v>
      </c>
    </row>
    <row r="151" spans="1:31" s="1024" customFormat="1" ht="30.75" hidden="1" customHeight="1">
      <c r="A151" s="2064"/>
      <c r="B151" s="2065"/>
      <c r="C151" s="843"/>
      <c r="D151" s="843"/>
      <c r="E151" s="840"/>
      <c r="F151" s="841"/>
      <c r="G151" s="841" t="s">
        <v>1200</v>
      </c>
      <c r="H151" s="841">
        <f t="shared" si="52"/>
        <v>240</v>
      </c>
      <c r="I151" s="840">
        <f t="shared" si="71"/>
        <v>0.99</v>
      </c>
      <c r="J151" s="840"/>
      <c r="K151" s="840">
        <f t="shared" si="63"/>
        <v>0.84</v>
      </c>
      <c r="L151" s="840">
        <f t="shared" si="53"/>
        <v>1.04</v>
      </c>
      <c r="M151" s="1020">
        <f t="shared" si="54"/>
        <v>0</v>
      </c>
      <c r="N151" s="1020">
        <f t="shared" si="69"/>
        <v>0</v>
      </c>
      <c r="O151" s="1020">
        <f t="shared" si="55"/>
        <v>0</v>
      </c>
      <c r="P151" s="1020">
        <f t="shared" si="56"/>
        <v>0</v>
      </c>
      <c r="Q151" s="1020">
        <f t="shared" si="70"/>
        <v>0</v>
      </c>
      <c r="R151" s="1020">
        <v>0.2</v>
      </c>
      <c r="S151" s="1020">
        <f t="shared" si="57"/>
        <v>0</v>
      </c>
      <c r="T151" s="1020">
        <f t="shared" si="64"/>
        <v>0</v>
      </c>
      <c r="U151" s="1020">
        <f t="shared" si="58"/>
        <v>0</v>
      </c>
      <c r="V151" s="1020">
        <f t="shared" si="59"/>
        <v>0</v>
      </c>
      <c r="W151" s="1020">
        <f t="shared" si="65"/>
        <v>0</v>
      </c>
      <c r="X151" s="1020">
        <f t="shared" si="60"/>
        <v>0</v>
      </c>
      <c r="Y151" s="1020">
        <f t="shared" si="61"/>
        <v>0</v>
      </c>
      <c r="Z151" s="842">
        <f t="shared" si="51"/>
        <v>0</v>
      </c>
      <c r="AA151" s="842">
        <f t="shared" si="62"/>
        <v>0</v>
      </c>
      <c r="AB151" s="842">
        <f t="shared" si="62"/>
        <v>0</v>
      </c>
      <c r="AC151" s="842">
        <f t="shared" si="68"/>
        <v>0</v>
      </c>
      <c r="AD151" s="1020">
        <f t="shared" si="66"/>
        <v>0</v>
      </c>
      <c r="AE151" s="1537">
        <f t="shared" si="67"/>
        <v>0</v>
      </c>
    </row>
    <row r="152" spans="1:31" s="1024" customFormat="1" ht="30.75" hidden="1" customHeight="1">
      <c r="A152" s="2064"/>
      <c r="B152" s="2065"/>
      <c r="C152" s="843"/>
      <c r="D152" s="843"/>
      <c r="E152" s="840"/>
      <c r="F152" s="841"/>
      <c r="G152" s="841" t="s">
        <v>1200</v>
      </c>
      <c r="H152" s="841">
        <f t="shared" si="52"/>
        <v>240</v>
      </c>
      <c r="I152" s="840">
        <f t="shared" si="71"/>
        <v>0.99</v>
      </c>
      <c r="J152" s="840"/>
      <c r="K152" s="840">
        <f t="shared" si="63"/>
        <v>0.84</v>
      </c>
      <c r="L152" s="840">
        <f t="shared" si="53"/>
        <v>1.04</v>
      </c>
      <c r="M152" s="1020">
        <f t="shared" si="54"/>
        <v>0</v>
      </c>
      <c r="N152" s="1020">
        <f t="shared" si="69"/>
        <v>0</v>
      </c>
      <c r="O152" s="1020">
        <f t="shared" si="55"/>
        <v>0</v>
      </c>
      <c r="P152" s="1020">
        <f t="shared" si="56"/>
        <v>0</v>
      </c>
      <c r="Q152" s="1020">
        <f t="shared" si="70"/>
        <v>0</v>
      </c>
      <c r="R152" s="1020">
        <v>0.2</v>
      </c>
      <c r="S152" s="1020">
        <f t="shared" si="57"/>
        <v>0</v>
      </c>
      <c r="T152" s="1020">
        <f t="shared" si="64"/>
        <v>0</v>
      </c>
      <c r="U152" s="1020">
        <f t="shared" si="58"/>
        <v>0</v>
      </c>
      <c r="V152" s="1020">
        <f t="shared" si="59"/>
        <v>0</v>
      </c>
      <c r="W152" s="1020">
        <f t="shared" si="65"/>
        <v>0</v>
      </c>
      <c r="X152" s="1020">
        <f t="shared" si="60"/>
        <v>0</v>
      </c>
      <c r="Y152" s="1020">
        <f t="shared" si="61"/>
        <v>0</v>
      </c>
      <c r="Z152" s="842">
        <f t="shared" si="51"/>
        <v>0</v>
      </c>
      <c r="AA152" s="842">
        <f t="shared" si="62"/>
        <v>0</v>
      </c>
      <c r="AB152" s="842">
        <f t="shared" si="62"/>
        <v>0</v>
      </c>
      <c r="AC152" s="842">
        <f t="shared" si="68"/>
        <v>0</v>
      </c>
      <c r="AD152" s="1020">
        <f t="shared" si="66"/>
        <v>0</v>
      </c>
      <c r="AE152" s="1537">
        <f t="shared" si="67"/>
        <v>0</v>
      </c>
    </row>
    <row r="153" spans="1:31" s="1024" customFormat="1" ht="30.75" hidden="1" customHeight="1">
      <c r="A153" s="2064"/>
      <c r="B153" s="2065"/>
      <c r="C153" s="843"/>
      <c r="D153" s="843"/>
      <c r="E153" s="840"/>
      <c r="F153" s="841"/>
      <c r="G153" s="841" t="s">
        <v>1200</v>
      </c>
      <c r="H153" s="841">
        <f t="shared" si="52"/>
        <v>240</v>
      </c>
      <c r="I153" s="840">
        <f t="shared" si="71"/>
        <v>0.99</v>
      </c>
      <c r="J153" s="840"/>
      <c r="K153" s="840">
        <f t="shared" si="63"/>
        <v>0.84</v>
      </c>
      <c r="L153" s="840">
        <f t="shared" si="53"/>
        <v>1.04</v>
      </c>
      <c r="M153" s="1020">
        <f t="shared" si="54"/>
        <v>0</v>
      </c>
      <c r="N153" s="1020">
        <f t="shared" si="69"/>
        <v>0</v>
      </c>
      <c r="O153" s="1020">
        <f t="shared" si="55"/>
        <v>0</v>
      </c>
      <c r="P153" s="1020">
        <f t="shared" si="56"/>
        <v>0</v>
      </c>
      <c r="Q153" s="1020">
        <f t="shared" si="70"/>
        <v>0</v>
      </c>
      <c r="R153" s="1020">
        <v>0.2</v>
      </c>
      <c r="S153" s="1020">
        <f t="shared" si="57"/>
        <v>0</v>
      </c>
      <c r="T153" s="1020">
        <f t="shared" si="64"/>
        <v>0</v>
      </c>
      <c r="U153" s="1020">
        <f t="shared" si="58"/>
        <v>0</v>
      </c>
      <c r="V153" s="1020">
        <f t="shared" si="59"/>
        <v>0</v>
      </c>
      <c r="W153" s="1020">
        <f t="shared" si="65"/>
        <v>0</v>
      </c>
      <c r="X153" s="1020">
        <f t="shared" si="60"/>
        <v>0</v>
      </c>
      <c r="Y153" s="1020">
        <f t="shared" si="61"/>
        <v>0</v>
      </c>
      <c r="Z153" s="842">
        <f t="shared" ref="Z153:Z174" si="72">ROUND(Y153*1.3*4,2)</f>
        <v>0</v>
      </c>
      <c r="AA153" s="842">
        <f t="shared" si="62"/>
        <v>0</v>
      </c>
      <c r="AB153" s="842">
        <f t="shared" si="62"/>
        <v>0</v>
      </c>
      <c r="AC153" s="842">
        <f t="shared" si="68"/>
        <v>0</v>
      </c>
      <c r="AD153" s="1020">
        <f t="shared" si="66"/>
        <v>0</v>
      </c>
      <c r="AE153" s="1537">
        <f t="shared" si="67"/>
        <v>0</v>
      </c>
    </row>
    <row r="154" spans="1:31" s="1024" customFormat="1" ht="30.75" hidden="1" customHeight="1">
      <c r="A154" s="2064"/>
      <c r="B154" s="2065"/>
      <c r="C154" s="843"/>
      <c r="D154" s="843"/>
      <c r="E154" s="840"/>
      <c r="F154" s="841"/>
      <c r="G154" s="841" t="s">
        <v>1200</v>
      </c>
      <c r="H154" s="841">
        <f t="shared" si="52"/>
        <v>240</v>
      </c>
      <c r="I154" s="840">
        <f t="shared" si="71"/>
        <v>0.99</v>
      </c>
      <c r="J154" s="840"/>
      <c r="K154" s="840">
        <f t="shared" si="63"/>
        <v>0.84</v>
      </c>
      <c r="L154" s="840">
        <f t="shared" si="53"/>
        <v>1.04</v>
      </c>
      <c r="M154" s="1020">
        <f t="shared" si="54"/>
        <v>0</v>
      </c>
      <c r="N154" s="1020">
        <f t="shared" si="69"/>
        <v>0</v>
      </c>
      <c r="O154" s="1020">
        <f t="shared" si="55"/>
        <v>0</v>
      </c>
      <c r="P154" s="1020">
        <f t="shared" si="56"/>
        <v>0</v>
      </c>
      <c r="Q154" s="1020">
        <f t="shared" si="70"/>
        <v>0</v>
      </c>
      <c r="R154" s="1020">
        <v>0.2</v>
      </c>
      <c r="S154" s="1020">
        <f t="shared" si="57"/>
        <v>0</v>
      </c>
      <c r="T154" s="1020">
        <f t="shared" si="64"/>
        <v>0</v>
      </c>
      <c r="U154" s="1020">
        <f t="shared" si="58"/>
        <v>0</v>
      </c>
      <c r="V154" s="1020">
        <f t="shared" si="59"/>
        <v>0</v>
      </c>
      <c r="W154" s="1020">
        <f t="shared" si="65"/>
        <v>0</v>
      </c>
      <c r="X154" s="1020">
        <f t="shared" si="60"/>
        <v>0</v>
      </c>
      <c r="Y154" s="1020">
        <f t="shared" si="61"/>
        <v>0</v>
      </c>
      <c r="Z154" s="842">
        <f t="shared" si="72"/>
        <v>0</v>
      </c>
      <c r="AA154" s="842">
        <f t="shared" si="62"/>
        <v>0</v>
      </c>
      <c r="AB154" s="842">
        <f t="shared" si="62"/>
        <v>0</v>
      </c>
      <c r="AC154" s="842">
        <f t="shared" si="68"/>
        <v>0</v>
      </c>
      <c r="AD154" s="1020">
        <f t="shared" si="66"/>
        <v>0</v>
      </c>
      <c r="AE154" s="1537">
        <f t="shared" si="67"/>
        <v>0</v>
      </c>
    </row>
    <row r="155" spans="1:31" s="1024" customFormat="1" ht="30.75" hidden="1" customHeight="1">
      <c r="A155" s="2064"/>
      <c r="B155" s="2065"/>
      <c r="C155" s="843"/>
      <c r="D155" s="843"/>
      <c r="E155" s="840"/>
      <c r="F155" s="841"/>
      <c r="G155" s="841" t="s">
        <v>1200</v>
      </c>
      <c r="H155" s="841">
        <f t="shared" si="52"/>
        <v>240</v>
      </c>
      <c r="I155" s="840">
        <f t="shared" si="71"/>
        <v>0.99</v>
      </c>
      <c r="J155" s="840"/>
      <c r="K155" s="840">
        <f t="shared" si="63"/>
        <v>0.84</v>
      </c>
      <c r="L155" s="840">
        <f t="shared" si="53"/>
        <v>1.04</v>
      </c>
      <c r="M155" s="1020">
        <f t="shared" si="54"/>
        <v>0</v>
      </c>
      <c r="N155" s="1020">
        <f t="shared" si="69"/>
        <v>0</v>
      </c>
      <c r="O155" s="1020">
        <f t="shared" si="55"/>
        <v>0</v>
      </c>
      <c r="P155" s="1020">
        <f t="shared" si="56"/>
        <v>0</v>
      </c>
      <c r="Q155" s="1020">
        <f t="shared" si="70"/>
        <v>0</v>
      </c>
      <c r="R155" s="1020">
        <v>0.2</v>
      </c>
      <c r="S155" s="1020">
        <f t="shared" si="57"/>
        <v>0</v>
      </c>
      <c r="T155" s="1020">
        <f t="shared" si="64"/>
        <v>0</v>
      </c>
      <c r="U155" s="1020">
        <f t="shared" si="58"/>
        <v>0</v>
      </c>
      <c r="V155" s="1020">
        <f t="shared" si="59"/>
        <v>0</v>
      </c>
      <c r="W155" s="1020">
        <f t="shared" si="65"/>
        <v>0</v>
      </c>
      <c r="X155" s="1020">
        <f t="shared" si="60"/>
        <v>0</v>
      </c>
      <c r="Y155" s="1020">
        <f t="shared" si="61"/>
        <v>0</v>
      </c>
      <c r="Z155" s="842">
        <f t="shared" si="72"/>
        <v>0</v>
      </c>
      <c r="AA155" s="842">
        <f t="shared" si="62"/>
        <v>0</v>
      </c>
      <c r="AB155" s="842">
        <f t="shared" si="62"/>
        <v>0</v>
      </c>
      <c r="AC155" s="842">
        <f t="shared" si="68"/>
        <v>0</v>
      </c>
      <c r="AD155" s="1020">
        <f t="shared" si="66"/>
        <v>0</v>
      </c>
      <c r="AE155" s="1537">
        <f t="shared" si="67"/>
        <v>0</v>
      </c>
    </row>
    <row r="156" spans="1:31" s="1024" customFormat="1" ht="30.75" hidden="1" customHeight="1">
      <c r="A156" s="2064"/>
      <c r="B156" s="2065"/>
      <c r="C156" s="843"/>
      <c r="D156" s="843"/>
      <c r="E156" s="840"/>
      <c r="F156" s="841"/>
      <c r="G156" s="841" t="s">
        <v>1200</v>
      </c>
      <c r="H156" s="841">
        <f t="shared" si="52"/>
        <v>240</v>
      </c>
      <c r="I156" s="840">
        <f t="shared" si="71"/>
        <v>0.99</v>
      </c>
      <c r="J156" s="840"/>
      <c r="K156" s="840">
        <f t="shared" si="63"/>
        <v>0.84</v>
      </c>
      <c r="L156" s="840">
        <f t="shared" si="53"/>
        <v>1.04</v>
      </c>
      <c r="M156" s="1020">
        <f t="shared" si="54"/>
        <v>0</v>
      </c>
      <c r="N156" s="1020">
        <f t="shared" si="69"/>
        <v>0</v>
      </c>
      <c r="O156" s="1020">
        <f t="shared" si="55"/>
        <v>0</v>
      </c>
      <c r="P156" s="1020">
        <f t="shared" si="56"/>
        <v>0</v>
      </c>
      <c r="Q156" s="1020">
        <f t="shared" si="70"/>
        <v>0</v>
      </c>
      <c r="R156" s="1020">
        <v>0.2</v>
      </c>
      <c r="S156" s="1020">
        <f t="shared" si="57"/>
        <v>0</v>
      </c>
      <c r="T156" s="1020">
        <f t="shared" si="64"/>
        <v>0</v>
      </c>
      <c r="U156" s="1020">
        <f t="shared" si="58"/>
        <v>0</v>
      </c>
      <c r="V156" s="1020">
        <f t="shared" si="59"/>
        <v>0</v>
      </c>
      <c r="W156" s="1020">
        <f t="shared" si="65"/>
        <v>0</v>
      </c>
      <c r="X156" s="1020">
        <f t="shared" si="60"/>
        <v>0</v>
      </c>
      <c r="Y156" s="1020">
        <f t="shared" si="61"/>
        <v>0</v>
      </c>
      <c r="Z156" s="842">
        <f t="shared" si="72"/>
        <v>0</v>
      </c>
      <c r="AA156" s="842">
        <f t="shared" si="62"/>
        <v>0</v>
      </c>
      <c r="AB156" s="842">
        <f t="shared" si="62"/>
        <v>0</v>
      </c>
      <c r="AC156" s="842">
        <f t="shared" si="68"/>
        <v>0</v>
      </c>
      <c r="AD156" s="1020">
        <f t="shared" si="66"/>
        <v>0</v>
      </c>
      <c r="AE156" s="1537">
        <f t="shared" si="67"/>
        <v>0</v>
      </c>
    </row>
    <row r="157" spans="1:31" s="1024" customFormat="1" ht="30.75" hidden="1" customHeight="1">
      <c r="A157" s="2064"/>
      <c r="B157" s="2065"/>
      <c r="C157" s="843"/>
      <c r="D157" s="843"/>
      <c r="E157" s="840"/>
      <c r="F157" s="841"/>
      <c r="G157" s="841" t="s">
        <v>1200</v>
      </c>
      <c r="H157" s="841">
        <f t="shared" si="52"/>
        <v>240</v>
      </c>
      <c r="I157" s="840">
        <f t="shared" si="71"/>
        <v>0.99</v>
      </c>
      <c r="J157" s="840"/>
      <c r="K157" s="840">
        <f t="shared" si="63"/>
        <v>0.84</v>
      </c>
      <c r="L157" s="840">
        <f t="shared" si="53"/>
        <v>1.04</v>
      </c>
      <c r="M157" s="1020">
        <f t="shared" si="54"/>
        <v>0</v>
      </c>
      <c r="N157" s="1020">
        <f t="shared" si="69"/>
        <v>0</v>
      </c>
      <c r="O157" s="1020">
        <f t="shared" si="55"/>
        <v>0</v>
      </c>
      <c r="P157" s="1020">
        <f t="shared" si="56"/>
        <v>0</v>
      </c>
      <c r="Q157" s="1020">
        <f t="shared" si="70"/>
        <v>0</v>
      </c>
      <c r="R157" s="1020">
        <v>0.2</v>
      </c>
      <c r="S157" s="1020">
        <f t="shared" si="57"/>
        <v>0</v>
      </c>
      <c r="T157" s="1020">
        <f t="shared" si="64"/>
        <v>0</v>
      </c>
      <c r="U157" s="1020">
        <f t="shared" si="58"/>
        <v>0</v>
      </c>
      <c r="V157" s="1020">
        <f t="shared" si="59"/>
        <v>0</v>
      </c>
      <c r="W157" s="1020">
        <f t="shared" si="65"/>
        <v>0</v>
      </c>
      <c r="X157" s="1020">
        <f t="shared" si="60"/>
        <v>0</v>
      </c>
      <c r="Y157" s="1020">
        <f t="shared" si="61"/>
        <v>0</v>
      </c>
      <c r="Z157" s="842">
        <f t="shared" si="72"/>
        <v>0</v>
      </c>
      <c r="AA157" s="842">
        <f t="shared" si="62"/>
        <v>0</v>
      </c>
      <c r="AB157" s="842">
        <f t="shared" si="62"/>
        <v>0</v>
      </c>
      <c r="AC157" s="842">
        <f t="shared" si="68"/>
        <v>0</v>
      </c>
      <c r="AD157" s="1020">
        <f t="shared" si="66"/>
        <v>0</v>
      </c>
      <c r="AE157" s="1537">
        <f t="shared" si="67"/>
        <v>0</v>
      </c>
    </row>
    <row r="158" spans="1:31" s="1024" customFormat="1" ht="30.75" hidden="1" customHeight="1">
      <c r="A158" s="2064"/>
      <c r="B158" s="2065"/>
      <c r="C158" s="843"/>
      <c r="D158" s="843"/>
      <c r="E158" s="840"/>
      <c r="F158" s="841"/>
      <c r="G158" s="841" t="s">
        <v>1200</v>
      </c>
      <c r="H158" s="841">
        <f t="shared" si="52"/>
        <v>240</v>
      </c>
      <c r="I158" s="840">
        <f t="shared" si="71"/>
        <v>0.99</v>
      </c>
      <c r="J158" s="840"/>
      <c r="K158" s="840">
        <f t="shared" si="63"/>
        <v>0.84</v>
      </c>
      <c r="L158" s="840">
        <f t="shared" si="53"/>
        <v>1.04</v>
      </c>
      <c r="M158" s="1020">
        <f t="shared" si="54"/>
        <v>0</v>
      </c>
      <c r="N158" s="1020">
        <f t="shared" si="69"/>
        <v>0</v>
      </c>
      <c r="O158" s="1020">
        <f t="shared" si="55"/>
        <v>0</v>
      </c>
      <c r="P158" s="1020">
        <f t="shared" si="56"/>
        <v>0</v>
      </c>
      <c r="Q158" s="1020">
        <f t="shared" si="70"/>
        <v>0</v>
      </c>
      <c r="R158" s="1020">
        <v>0.2</v>
      </c>
      <c r="S158" s="1020">
        <f t="shared" si="57"/>
        <v>0</v>
      </c>
      <c r="T158" s="1020">
        <f t="shared" si="64"/>
        <v>0</v>
      </c>
      <c r="U158" s="1020">
        <f t="shared" si="58"/>
        <v>0</v>
      </c>
      <c r="V158" s="1020">
        <f t="shared" si="59"/>
        <v>0</v>
      </c>
      <c r="W158" s="1020">
        <f t="shared" si="65"/>
        <v>0</v>
      </c>
      <c r="X158" s="1020">
        <f t="shared" si="60"/>
        <v>0</v>
      </c>
      <c r="Y158" s="1020">
        <f t="shared" si="61"/>
        <v>0</v>
      </c>
      <c r="Z158" s="842">
        <f t="shared" si="72"/>
        <v>0</v>
      </c>
      <c r="AA158" s="842">
        <f t="shared" si="62"/>
        <v>0</v>
      </c>
      <c r="AB158" s="842">
        <f t="shared" si="62"/>
        <v>0</v>
      </c>
      <c r="AC158" s="842">
        <f t="shared" si="68"/>
        <v>0</v>
      </c>
      <c r="AD158" s="1020">
        <f t="shared" si="66"/>
        <v>0</v>
      </c>
      <c r="AE158" s="1537">
        <f t="shared" si="67"/>
        <v>0</v>
      </c>
    </row>
    <row r="159" spans="1:31" s="1024" customFormat="1" ht="30.75" hidden="1" customHeight="1">
      <c r="A159" s="2064"/>
      <c r="B159" s="2065"/>
      <c r="C159" s="843"/>
      <c r="D159" s="843"/>
      <c r="E159" s="840"/>
      <c r="F159" s="841"/>
      <c r="G159" s="841" t="s">
        <v>1200</v>
      </c>
      <c r="H159" s="841">
        <f t="shared" si="52"/>
        <v>240</v>
      </c>
      <c r="I159" s="840">
        <f t="shared" si="71"/>
        <v>0.99</v>
      </c>
      <c r="J159" s="840"/>
      <c r="K159" s="840">
        <f t="shared" si="63"/>
        <v>0.84</v>
      </c>
      <c r="L159" s="840">
        <f t="shared" si="53"/>
        <v>1.04</v>
      </c>
      <c r="M159" s="1020">
        <f t="shared" si="54"/>
        <v>0</v>
      </c>
      <c r="N159" s="1020">
        <f t="shared" si="69"/>
        <v>0</v>
      </c>
      <c r="O159" s="1020">
        <f t="shared" si="55"/>
        <v>0</v>
      </c>
      <c r="P159" s="1020">
        <f t="shared" si="56"/>
        <v>0</v>
      </c>
      <c r="Q159" s="1020">
        <f t="shared" si="70"/>
        <v>0</v>
      </c>
      <c r="R159" s="1020">
        <v>0.2</v>
      </c>
      <c r="S159" s="1020">
        <f t="shared" si="57"/>
        <v>0</v>
      </c>
      <c r="T159" s="1020">
        <f t="shared" si="64"/>
        <v>0</v>
      </c>
      <c r="U159" s="1020">
        <f t="shared" si="58"/>
        <v>0</v>
      </c>
      <c r="V159" s="1020">
        <f t="shared" si="59"/>
        <v>0</v>
      </c>
      <c r="W159" s="1020">
        <f t="shared" si="65"/>
        <v>0</v>
      </c>
      <c r="X159" s="1020">
        <f t="shared" si="60"/>
        <v>0</v>
      </c>
      <c r="Y159" s="1020">
        <f t="shared" si="61"/>
        <v>0</v>
      </c>
      <c r="Z159" s="842">
        <f t="shared" si="72"/>
        <v>0</v>
      </c>
      <c r="AA159" s="842">
        <f t="shared" si="62"/>
        <v>0</v>
      </c>
      <c r="AB159" s="842">
        <f t="shared" si="62"/>
        <v>0</v>
      </c>
      <c r="AC159" s="842">
        <f t="shared" si="68"/>
        <v>0</v>
      </c>
      <c r="AD159" s="1020">
        <f t="shared" si="66"/>
        <v>0</v>
      </c>
      <c r="AE159" s="1537">
        <f t="shared" si="67"/>
        <v>0</v>
      </c>
    </row>
    <row r="160" spans="1:31" s="1024" customFormat="1" ht="30.75" hidden="1" customHeight="1">
      <c r="A160" s="2064"/>
      <c r="B160" s="2065"/>
      <c r="C160" s="843"/>
      <c r="D160" s="843"/>
      <c r="E160" s="840"/>
      <c r="F160" s="841"/>
      <c r="G160" s="841" t="s">
        <v>1200</v>
      </c>
      <c r="H160" s="841">
        <f t="shared" si="52"/>
        <v>240</v>
      </c>
      <c r="I160" s="840">
        <f t="shared" si="71"/>
        <v>0.99</v>
      </c>
      <c r="J160" s="840"/>
      <c r="K160" s="840">
        <f t="shared" si="63"/>
        <v>0.84</v>
      </c>
      <c r="L160" s="840">
        <f t="shared" si="53"/>
        <v>1.04</v>
      </c>
      <c r="M160" s="1020">
        <f t="shared" si="54"/>
        <v>0</v>
      </c>
      <c r="N160" s="1020">
        <f t="shared" si="69"/>
        <v>0</v>
      </c>
      <c r="O160" s="1020">
        <f t="shared" si="55"/>
        <v>0</v>
      </c>
      <c r="P160" s="1020">
        <f t="shared" si="56"/>
        <v>0</v>
      </c>
      <c r="Q160" s="1020">
        <f t="shared" si="70"/>
        <v>0</v>
      </c>
      <c r="R160" s="1020">
        <v>0.2</v>
      </c>
      <c r="S160" s="1020">
        <f t="shared" si="57"/>
        <v>0</v>
      </c>
      <c r="T160" s="1020">
        <f t="shared" si="64"/>
        <v>0</v>
      </c>
      <c r="U160" s="1020">
        <f t="shared" si="58"/>
        <v>0</v>
      </c>
      <c r="V160" s="1020">
        <f t="shared" si="59"/>
        <v>0</v>
      </c>
      <c r="W160" s="1020">
        <f t="shared" si="65"/>
        <v>0</v>
      </c>
      <c r="X160" s="1020">
        <f t="shared" si="60"/>
        <v>0</v>
      </c>
      <c r="Y160" s="1020">
        <f t="shared" si="61"/>
        <v>0</v>
      </c>
      <c r="Z160" s="842">
        <f t="shared" si="72"/>
        <v>0</v>
      </c>
      <c r="AA160" s="842">
        <f t="shared" si="62"/>
        <v>0</v>
      </c>
      <c r="AB160" s="842">
        <f t="shared" si="62"/>
        <v>0</v>
      </c>
      <c r="AC160" s="842">
        <f t="shared" si="68"/>
        <v>0</v>
      </c>
      <c r="AD160" s="1020">
        <f t="shared" si="66"/>
        <v>0</v>
      </c>
      <c r="AE160" s="1537">
        <f t="shared" si="67"/>
        <v>0</v>
      </c>
    </row>
    <row r="161" spans="1:31" s="1024" customFormat="1" ht="30.75" hidden="1" customHeight="1">
      <c r="A161" s="2064"/>
      <c r="B161" s="2065"/>
      <c r="C161" s="843"/>
      <c r="D161" s="843"/>
      <c r="E161" s="840"/>
      <c r="F161" s="841"/>
      <c r="G161" s="841" t="s">
        <v>1200</v>
      </c>
      <c r="H161" s="841">
        <f t="shared" si="52"/>
        <v>240</v>
      </c>
      <c r="I161" s="840">
        <f t="shared" si="71"/>
        <v>0.99</v>
      </c>
      <c r="J161" s="840"/>
      <c r="K161" s="840">
        <f t="shared" si="63"/>
        <v>0.84</v>
      </c>
      <c r="L161" s="840">
        <f t="shared" si="53"/>
        <v>1.04</v>
      </c>
      <c r="M161" s="1020">
        <f t="shared" si="54"/>
        <v>0</v>
      </c>
      <c r="N161" s="1020">
        <f t="shared" si="69"/>
        <v>0</v>
      </c>
      <c r="O161" s="1020">
        <f t="shared" si="55"/>
        <v>0</v>
      </c>
      <c r="P161" s="1020">
        <f t="shared" si="56"/>
        <v>0</v>
      </c>
      <c r="Q161" s="1020">
        <f t="shared" si="70"/>
        <v>0</v>
      </c>
      <c r="R161" s="1020">
        <v>0.2</v>
      </c>
      <c r="S161" s="1020">
        <f t="shared" si="57"/>
        <v>0</v>
      </c>
      <c r="T161" s="1020">
        <f t="shared" si="64"/>
        <v>0</v>
      </c>
      <c r="U161" s="1020">
        <f t="shared" si="58"/>
        <v>0</v>
      </c>
      <c r="V161" s="1020">
        <f t="shared" si="59"/>
        <v>0</v>
      </c>
      <c r="W161" s="1020">
        <f t="shared" si="65"/>
        <v>0</v>
      </c>
      <c r="X161" s="1020">
        <f t="shared" si="60"/>
        <v>0</v>
      </c>
      <c r="Y161" s="1020">
        <f t="shared" si="61"/>
        <v>0</v>
      </c>
      <c r="Z161" s="842">
        <f t="shared" si="72"/>
        <v>0</v>
      </c>
      <c r="AA161" s="842">
        <f t="shared" si="62"/>
        <v>0</v>
      </c>
      <c r="AB161" s="842">
        <f t="shared" si="62"/>
        <v>0</v>
      </c>
      <c r="AC161" s="842">
        <f t="shared" si="68"/>
        <v>0</v>
      </c>
      <c r="AD161" s="1020">
        <f t="shared" si="66"/>
        <v>0</v>
      </c>
      <c r="AE161" s="1537">
        <f t="shared" si="67"/>
        <v>0</v>
      </c>
    </row>
    <row r="162" spans="1:31" s="1024" customFormat="1" ht="30.75" hidden="1" customHeight="1">
      <c r="A162" s="2064"/>
      <c r="B162" s="2065"/>
      <c r="C162" s="843"/>
      <c r="D162" s="843"/>
      <c r="E162" s="840"/>
      <c r="F162" s="841"/>
      <c r="G162" s="841" t="s">
        <v>1200</v>
      </c>
      <c r="H162" s="841">
        <f t="shared" si="52"/>
        <v>240</v>
      </c>
      <c r="I162" s="840">
        <f t="shared" si="71"/>
        <v>0.99</v>
      </c>
      <c r="J162" s="840"/>
      <c r="K162" s="840">
        <f t="shared" si="63"/>
        <v>0.84</v>
      </c>
      <c r="L162" s="840">
        <f t="shared" si="53"/>
        <v>1.04</v>
      </c>
      <c r="M162" s="1020">
        <f t="shared" si="54"/>
        <v>0</v>
      </c>
      <c r="N162" s="1020">
        <f t="shared" si="69"/>
        <v>0</v>
      </c>
      <c r="O162" s="1020">
        <f t="shared" si="55"/>
        <v>0</v>
      </c>
      <c r="P162" s="1020">
        <f t="shared" si="56"/>
        <v>0</v>
      </c>
      <c r="Q162" s="1020">
        <f t="shared" si="70"/>
        <v>0</v>
      </c>
      <c r="R162" s="1020">
        <v>0.2</v>
      </c>
      <c r="S162" s="1020">
        <f t="shared" si="57"/>
        <v>0</v>
      </c>
      <c r="T162" s="1020">
        <f t="shared" si="64"/>
        <v>0</v>
      </c>
      <c r="U162" s="1020">
        <f t="shared" si="58"/>
        <v>0</v>
      </c>
      <c r="V162" s="1020">
        <f t="shared" si="59"/>
        <v>0</v>
      </c>
      <c r="W162" s="1020">
        <f t="shared" si="65"/>
        <v>0</v>
      </c>
      <c r="X162" s="1020">
        <f t="shared" si="60"/>
        <v>0</v>
      </c>
      <c r="Y162" s="1020">
        <f t="shared" si="61"/>
        <v>0</v>
      </c>
      <c r="Z162" s="842">
        <f t="shared" si="72"/>
        <v>0</v>
      </c>
      <c r="AA162" s="842">
        <f t="shared" si="62"/>
        <v>0</v>
      </c>
      <c r="AB162" s="842">
        <f t="shared" si="62"/>
        <v>0</v>
      </c>
      <c r="AC162" s="842">
        <f t="shared" si="68"/>
        <v>0</v>
      </c>
      <c r="AD162" s="1020">
        <f t="shared" si="66"/>
        <v>0</v>
      </c>
      <c r="AE162" s="1537">
        <f t="shared" si="67"/>
        <v>0</v>
      </c>
    </row>
    <row r="163" spans="1:31" s="1024" customFormat="1" ht="30.75" hidden="1" customHeight="1">
      <c r="A163" s="2064"/>
      <c r="B163" s="2065"/>
      <c r="C163" s="843"/>
      <c r="D163" s="843"/>
      <c r="E163" s="840"/>
      <c r="F163" s="841"/>
      <c r="G163" s="841" t="s">
        <v>1200</v>
      </c>
      <c r="H163" s="841">
        <f t="shared" si="52"/>
        <v>240</v>
      </c>
      <c r="I163" s="840">
        <f t="shared" si="71"/>
        <v>0.99</v>
      </c>
      <c r="J163" s="840"/>
      <c r="K163" s="840">
        <f t="shared" si="63"/>
        <v>0.84</v>
      </c>
      <c r="L163" s="840">
        <f t="shared" si="53"/>
        <v>1.04</v>
      </c>
      <c r="M163" s="1020">
        <f t="shared" si="54"/>
        <v>0</v>
      </c>
      <c r="N163" s="1020">
        <f t="shared" si="69"/>
        <v>0</v>
      </c>
      <c r="O163" s="1020">
        <f t="shared" si="55"/>
        <v>0</v>
      </c>
      <c r="P163" s="1020">
        <f t="shared" si="56"/>
        <v>0</v>
      </c>
      <c r="Q163" s="1020">
        <f t="shared" si="70"/>
        <v>0</v>
      </c>
      <c r="R163" s="1020">
        <v>0.2</v>
      </c>
      <c r="S163" s="1020">
        <f t="shared" si="57"/>
        <v>0</v>
      </c>
      <c r="T163" s="1020">
        <f t="shared" si="64"/>
        <v>0</v>
      </c>
      <c r="U163" s="1020">
        <f t="shared" si="58"/>
        <v>0</v>
      </c>
      <c r="V163" s="1020">
        <f t="shared" si="59"/>
        <v>0</v>
      </c>
      <c r="W163" s="1020">
        <f t="shared" si="65"/>
        <v>0</v>
      </c>
      <c r="X163" s="1020">
        <f t="shared" si="60"/>
        <v>0</v>
      </c>
      <c r="Y163" s="1020">
        <f t="shared" si="61"/>
        <v>0</v>
      </c>
      <c r="Z163" s="842">
        <f t="shared" si="72"/>
        <v>0</v>
      </c>
      <c r="AA163" s="842">
        <f t="shared" si="62"/>
        <v>0</v>
      </c>
      <c r="AB163" s="842">
        <f t="shared" si="62"/>
        <v>0</v>
      </c>
      <c r="AC163" s="842">
        <f t="shared" si="68"/>
        <v>0</v>
      </c>
      <c r="AD163" s="1020">
        <f t="shared" si="66"/>
        <v>0</v>
      </c>
      <c r="AE163" s="1537">
        <f t="shared" si="67"/>
        <v>0</v>
      </c>
    </row>
    <row r="164" spans="1:31" s="1024" customFormat="1" ht="30.75" hidden="1" customHeight="1">
      <c r="A164" s="2064"/>
      <c r="B164" s="2065"/>
      <c r="C164" s="843"/>
      <c r="D164" s="843"/>
      <c r="E164" s="840"/>
      <c r="F164" s="841"/>
      <c r="G164" s="841" t="s">
        <v>1200</v>
      </c>
      <c r="H164" s="841">
        <f t="shared" si="52"/>
        <v>240</v>
      </c>
      <c r="I164" s="840">
        <f t="shared" si="71"/>
        <v>0.99</v>
      </c>
      <c r="J164" s="840"/>
      <c r="K164" s="840">
        <f t="shared" si="63"/>
        <v>0.84</v>
      </c>
      <c r="L164" s="840">
        <f t="shared" si="53"/>
        <v>1.04</v>
      </c>
      <c r="M164" s="1020">
        <f t="shared" si="54"/>
        <v>0</v>
      </c>
      <c r="N164" s="1020">
        <f t="shared" si="69"/>
        <v>0</v>
      </c>
      <c r="O164" s="1020">
        <f t="shared" si="55"/>
        <v>0</v>
      </c>
      <c r="P164" s="1020">
        <f t="shared" si="56"/>
        <v>0</v>
      </c>
      <c r="Q164" s="1020">
        <f t="shared" si="70"/>
        <v>0</v>
      </c>
      <c r="R164" s="1020">
        <v>0.2</v>
      </c>
      <c r="S164" s="1020">
        <f t="shared" si="57"/>
        <v>0</v>
      </c>
      <c r="T164" s="1020">
        <f t="shared" si="64"/>
        <v>0</v>
      </c>
      <c r="U164" s="1020">
        <f t="shared" si="58"/>
        <v>0</v>
      </c>
      <c r="V164" s="1020">
        <f t="shared" si="59"/>
        <v>0</v>
      </c>
      <c r="W164" s="1020">
        <f t="shared" si="65"/>
        <v>0</v>
      </c>
      <c r="X164" s="1020">
        <f t="shared" si="60"/>
        <v>0</v>
      </c>
      <c r="Y164" s="1020">
        <f t="shared" si="61"/>
        <v>0</v>
      </c>
      <c r="Z164" s="842">
        <f t="shared" si="72"/>
        <v>0</v>
      </c>
      <c r="AA164" s="842">
        <f t="shared" si="62"/>
        <v>0</v>
      </c>
      <c r="AB164" s="842">
        <f t="shared" si="62"/>
        <v>0</v>
      </c>
      <c r="AC164" s="842">
        <f t="shared" si="68"/>
        <v>0</v>
      </c>
      <c r="AD164" s="1020">
        <f t="shared" si="66"/>
        <v>0</v>
      </c>
      <c r="AE164" s="1537">
        <f t="shared" si="67"/>
        <v>0</v>
      </c>
    </row>
    <row r="165" spans="1:31" s="1024" customFormat="1" ht="30.75" hidden="1" customHeight="1">
      <c r="A165" s="2064"/>
      <c r="B165" s="2065"/>
      <c r="C165" s="843"/>
      <c r="D165" s="843"/>
      <c r="E165" s="840"/>
      <c r="F165" s="841"/>
      <c r="G165" s="841" t="s">
        <v>1200</v>
      </c>
      <c r="H165" s="841">
        <f t="shared" si="52"/>
        <v>240</v>
      </c>
      <c r="I165" s="840">
        <f t="shared" si="71"/>
        <v>0.99</v>
      </c>
      <c r="J165" s="840"/>
      <c r="K165" s="840">
        <f t="shared" si="63"/>
        <v>0.84</v>
      </c>
      <c r="L165" s="840">
        <f t="shared" si="53"/>
        <v>1.04</v>
      </c>
      <c r="M165" s="1020">
        <f t="shared" si="54"/>
        <v>0</v>
      </c>
      <c r="N165" s="1020">
        <f t="shared" si="69"/>
        <v>0</v>
      </c>
      <c r="O165" s="1020">
        <f t="shared" si="55"/>
        <v>0</v>
      </c>
      <c r="P165" s="1020">
        <f t="shared" si="56"/>
        <v>0</v>
      </c>
      <c r="Q165" s="1020">
        <f t="shared" si="70"/>
        <v>0</v>
      </c>
      <c r="R165" s="1020">
        <v>0.2</v>
      </c>
      <c r="S165" s="1020">
        <f t="shared" si="57"/>
        <v>0</v>
      </c>
      <c r="T165" s="1020">
        <f t="shared" si="64"/>
        <v>0</v>
      </c>
      <c r="U165" s="1020">
        <f t="shared" si="58"/>
        <v>0</v>
      </c>
      <c r="V165" s="1020">
        <f t="shared" si="59"/>
        <v>0</v>
      </c>
      <c r="W165" s="1020">
        <f t="shared" si="65"/>
        <v>0</v>
      </c>
      <c r="X165" s="1020">
        <f t="shared" si="60"/>
        <v>0</v>
      </c>
      <c r="Y165" s="1020">
        <f t="shared" si="61"/>
        <v>0</v>
      </c>
      <c r="Z165" s="842">
        <f t="shared" si="72"/>
        <v>0</v>
      </c>
      <c r="AA165" s="842">
        <f t="shared" si="62"/>
        <v>0</v>
      </c>
      <c r="AB165" s="842">
        <f t="shared" si="62"/>
        <v>0</v>
      </c>
      <c r="AC165" s="842">
        <f t="shared" si="68"/>
        <v>0</v>
      </c>
      <c r="AD165" s="1020">
        <f t="shared" si="66"/>
        <v>0</v>
      </c>
      <c r="AE165" s="1537">
        <f t="shared" si="67"/>
        <v>0</v>
      </c>
    </row>
    <row r="166" spans="1:31" s="1024" customFormat="1" ht="30.75" hidden="1" customHeight="1">
      <c r="A166" s="2064"/>
      <c r="B166" s="2065"/>
      <c r="C166" s="843"/>
      <c r="D166" s="843"/>
      <c r="E166" s="840"/>
      <c r="F166" s="841"/>
      <c r="G166" s="841" t="s">
        <v>1200</v>
      </c>
      <c r="H166" s="841">
        <f t="shared" si="52"/>
        <v>240</v>
      </c>
      <c r="I166" s="840">
        <f t="shared" si="71"/>
        <v>0.99</v>
      </c>
      <c r="J166" s="840"/>
      <c r="K166" s="840">
        <f t="shared" si="63"/>
        <v>0.84</v>
      </c>
      <c r="L166" s="840">
        <f t="shared" si="53"/>
        <v>1.04</v>
      </c>
      <c r="M166" s="1020">
        <f t="shared" si="54"/>
        <v>0</v>
      </c>
      <c r="N166" s="1020">
        <f t="shared" si="69"/>
        <v>0</v>
      </c>
      <c r="O166" s="1020">
        <f t="shared" si="55"/>
        <v>0</v>
      </c>
      <c r="P166" s="1020">
        <f t="shared" si="56"/>
        <v>0</v>
      </c>
      <c r="Q166" s="1020">
        <f t="shared" si="70"/>
        <v>0</v>
      </c>
      <c r="R166" s="1020">
        <v>0.2</v>
      </c>
      <c r="S166" s="1020">
        <f t="shared" si="57"/>
        <v>0</v>
      </c>
      <c r="T166" s="1020">
        <f t="shared" si="64"/>
        <v>0</v>
      </c>
      <c r="U166" s="1020">
        <f t="shared" si="58"/>
        <v>0</v>
      </c>
      <c r="V166" s="1020">
        <f t="shared" si="59"/>
        <v>0</v>
      </c>
      <c r="W166" s="1020">
        <f t="shared" si="65"/>
        <v>0</v>
      </c>
      <c r="X166" s="1020">
        <f t="shared" si="60"/>
        <v>0</v>
      </c>
      <c r="Y166" s="1020">
        <f t="shared" si="61"/>
        <v>0</v>
      </c>
      <c r="Z166" s="842">
        <f t="shared" si="72"/>
        <v>0</v>
      </c>
      <c r="AA166" s="842">
        <f t="shared" si="62"/>
        <v>0</v>
      </c>
      <c r="AB166" s="842">
        <f t="shared" si="62"/>
        <v>0</v>
      </c>
      <c r="AC166" s="842">
        <f t="shared" si="68"/>
        <v>0</v>
      </c>
      <c r="AD166" s="1020">
        <f t="shared" si="66"/>
        <v>0</v>
      </c>
      <c r="AE166" s="1537">
        <f t="shared" si="67"/>
        <v>0</v>
      </c>
    </row>
    <row r="167" spans="1:31" s="1024" customFormat="1" ht="30.75" hidden="1" customHeight="1">
      <c r="A167" s="2064"/>
      <c r="B167" s="2065"/>
      <c r="C167" s="843"/>
      <c r="D167" s="843"/>
      <c r="E167" s="840"/>
      <c r="F167" s="841"/>
      <c r="G167" s="841" t="s">
        <v>1200</v>
      </c>
      <c r="H167" s="841">
        <f t="shared" si="52"/>
        <v>240</v>
      </c>
      <c r="I167" s="840">
        <f t="shared" si="71"/>
        <v>0.99</v>
      </c>
      <c r="J167" s="840"/>
      <c r="K167" s="840">
        <f t="shared" si="63"/>
        <v>0.84</v>
      </c>
      <c r="L167" s="840">
        <f t="shared" si="53"/>
        <v>1.04</v>
      </c>
      <c r="M167" s="1020">
        <f t="shared" si="54"/>
        <v>0</v>
      </c>
      <c r="N167" s="1020">
        <f t="shared" si="69"/>
        <v>0</v>
      </c>
      <c r="O167" s="1020">
        <f t="shared" si="55"/>
        <v>0</v>
      </c>
      <c r="P167" s="1020">
        <f t="shared" si="56"/>
        <v>0</v>
      </c>
      <c r="Q167" s="1020">
        <f t="shared" si="70"/>
        <v>0</v>
      </c>
      <c r="R167" s="1020">
        <v>0.2</v>
      </c>
      <c r="S167" s="1020">
        <f t="shared" si="57"/>
        <v>0</v>
      </c>
      <c r="T167" s="1020">
        <f t="shared" si="64"/>
        <v>0</v>
      </c>
      <c r="U167" s="1020">
        <f t="shared" si="58"/>
        <v>0</v>
      </c>
      <c r="V167" s="1020">
        <f t="shared" si="59"/>
        <v>0</v>
      </c>
      <c r="W167" s="1020">
        <f t="shared" si="65"/>
        <v>0</v>
      </c>
      <c r="X167" s="1020">
        <f t="shared" si="60"/>
        <v>0</v>
      </c>
      <c r="Y167" s="1020">
        <f t="shared" si="61"/>
        <v>0</v>
      </c>
      <c r="Z167" s="842">
        <f t="shared" si="72"/>
        <v>0</v>
      </c>
      <c r="AA167" s="842">
        <f t="shared" si="62"/>
        <v>0</v>
      </c>
      <c r="AB167" s="842">
        <f t="shared" si="62"/>
        <v>0</v>
      </c>
      <c r="AC167" s="842">
        <f t="shared" si="68"/>
        <v>0</v>
      </c>
      <c r="AD167" s="1020">
        <f t="shared" si="66"/>
        <v>0</v>
      </c>
      <c r="AE167" s="1537">
        <f t="shared" si="67"/>
        <v>0</v>
      </c>
    </row>
    <row r="168" spans="1:31" s="1024" customFormat="1" ht="30.75" hidden="1" customHeight="1">
      <c r="A168" s="2064"/>
      <c r="B168" s="2065"/>
      <c r="C168" s="843"/>
      <c r="D168" s="843"/>
      <c r="E168" s="840"/>
      <c r="F168" s="841"/>
      <c r="G168" s="841"/>
      <c r="H168" s="841">
        <f t="shared" si="52"/>
        <v>240</v>
      </c>
      <c r="I168" s="840">
        <f t="shared" si="71"/>
        <v>3.96</v>
      </c>
      <c r="J168" s="840"/>
      <c r="K168" s="840">
        <f t="shared" si="63"/>
        <v>0.84</v>
      </c>
      <c r="L168" s="840">
        <f t="shared" si="53"/>
        <v>1.04</v>
      </c>
      <c r="M168" s="1020">
        <f t="shared" si="54"/>
        <v>0</v>
      </c>
      <c r="N168" s="1020">
        <f t="shared" si="69"/>
        <v>0</v>
      </c>
      <c r="O168" s="1020">
        <f t="shared" si="55"/>
        <v>0</v>
      </c>
      <c r="P168" s="1020">
        <f t="shared" si="56"/>
        <v>0</v>
      </c>
      <c r="Q168" s="1020">
        <f t="shared" si="70"/>
        <v>0</v>
      </c>
      <c r="R168" s="1020">
        <v>0.2</v>
      </c>
      <c r="S168" s="1020">
        <f t="shared" si="57"/>
        <v>0</v>
      </c>
      <c r="T168" s="1020">
        <f t="shared" si="64"/>
        <v>0</v>
      </c>
      <c r="U168" s="1020">
        <f t="shared" si="58"/>
        <v>0</v>
      </c>
      <c r="V168" s="1020">
        <f t="shared" si="59"/>
        <v>0</v>
      </c>
      <c r="W168" s="1020">
        <f t="shared" si="65"/>
        <v>0</v>
      </c>
      <c r="X168" s="1020">
        <f t="shared" si="60"/>
        <v>0</v>
      </c>
      <c r="Y168" s="1020">
        <f t="shared" si="61"/>
        <v>0</v>
      </c>
      <c r="Z168" s="842">
        <f t="shared" si="72"/>
        <v>0</v>
      </c>
      <c r="AA168" s="842">
        <f t="shared" si="62"/>
        <v>0</v>
      </c>
      <c r="AB168" s="842">
        <f t="shared" si="62"/>
        <v>0</v>
      </c>
      <c r="AC168" s="842">
        <f t="shared" si="68"/>
        <v>0</v>
      </c>
      <c r="AD168" s="1020">
        <f t="shared" si="66"/>
        <v>0</v>
      </c>
      <c r="AE168" s="1537">
        <f t="shared" si="67"/>
        <v>0</v>
      </c>
    </row>
    <row r="169" spans="1:31" s="1024" customFormat="1" ht="30.75" hidden="1" customHeight="1">
      <c r="A169" s="2064"/>
      <c r="B169" s="2065"/>
      <c r="C169" s="843"/>
      <c r="D169" s="843"/>
      <c r="E169" s="840"/>
      <c r="F169" s="841"/>
      <c r="G169" s="841"/>
      <c r="H169" s="841">
        <f t="shared" si="52"/>
        <v>240</v>
      </c>
      <c r="I169" s="840">
        <f t="shared" si="71"/>
        <v>3.96</v>
      </c>
      <c r="J169" s="840"/>
      <c r="K169" s="840">
        <f t="shared" si="63"/>
        <v>0.84</v>
      </c>
      <c r="L169" s="840">
        <f t="shared" si="53"/>
        <v>1.04</v>
      </c>
      <c r="M169" s="1020">
        <f t="shared" si="54"/>
        <v>0</v>
      </c>
      <c r="N169" s="1020">
        <f t="shared" si="69"/>
        <v>0</v>
      </c>
      <c r="O169" s="1020">
        <f t="shared" si="55"/>
        <v>0</v>
      </c>
      <c r="P169" s="1020">
        <f t="shared" si="56"/>
        <v>0</v>
      </c>
      <c r="Q169" s="1020">
        <f t="shared" si="70"/>
        <v>0</v>
      </c>
      <c r="R169" s="1020">
        <v>0.2</v>
      </c>
      <c r="S169" s="1020">
        <f t="shared" si="57"/>
        <v>0</v>
      </c>
      <c r="T169" s="1020">
        <f t="shared" si="64"/>
        <v>0</v>
      </c>
      <c r="U169" s="1020">
        <f t="shared" si="58"/>
        <v>0</v>
      </c>
      <c r="V169" s="1020">
        <f t="shared" si="59"/>
        <v>0</v>
      </c>
      <c r="W169" s="1020">
        <f t="shared" si="65"/>
        <v>0</v>
      </c>
      <c r="X169" s="1020">
        <f t="shared" si="60"/>
        <v>0</v>
      </c>
      <c r="Y169" s="1020">
        <f t="shared" si="61"/>
        <v>0</v>
      </c>
      <c r="Z169" s="842">
        <f t="shared" si="72"/>
        <v>0</v>
      </c>
      <c r="AA169" s="842">
        <f t="shared" si="62"/>
        <v>0</v>
      </c>
      <c r="AB169" s="842">
        <f t="shared" si="62"/>
        <v>0</v>
      </c>
      <c r="AC169" s="842">
        <f t="shared" si="68"/>
        <v>0</v>
      </c>
      <c r="AD169" s="1020">
        <f t="shared" si="66"/>
        <v>0</v>
      </c>
      <c r="AE169" s="1537">
        <f t="shared" si="67"/>
        <v>0</v>
      </c>
    </row>
    <row r="170" spans="1:31" s="1024" customFormat="1" ht="30.75" hidden="1" customHeight="1">
      <c r="A170" s="2064"/>
      <c r="B170" s="2065"/>
      <c r="C170" s="843"/>
      <c r="D170" s="843"/>
      <c r="E170" s="840"/>
      <c r="F170" s="841"/>
      <c r="G170" s="841"/>
      <c r="H170" s="841">
        <f t="shared" si="52"/>
        <v>240</v>
      </c>
      <c r="I170" s="840">
        <f t="shared" si="71"/>
        <v>3.96</v>
      </c>
      <c r="J170" s="840"/>
      <c r="K170" s="840">
        <f t="shared" si="63"/>
        <v>0.84</v>
      </c>
      <c r="L170" s="840">
        <f t="shared" si="53"/>
        <v>1.04</v>
      </c>
      <c r="M170" s="1020">
        <f t="shared" si="54"/>
        <v>0</v>
      </c>
      <c r="N170" s="1020">
        <f t="shared" si="69"/>
        <v>0</v>
      </c>
      <c r="O170" s="1020">
        <f t="shared" si="55"/>
        <v>0</v>
      </c>
      <c r="P170" s="1020">
        <f t="shared" si="56"/>
        <v>0</v>
      </c>
      <c r="Q170" s="1020">
        <f t="shared" si="70"/>
        <v>0</v>
      </c>
      <c r="R170" s="1020">
        <v>0.2</v>
      </c>
      <c r="S170" s="1020">
        <f t="shared" si="57"/>
        <v>0</v>
      </c>
      <c r="T170" s="1020">
        <f t="shared" si="64"/>
        <v>0</v>
      </c>
      <c r="U170" s="1020">
        <f t="shared" si="58"/>
        <v>0</v>
      </c>
      <c r="V170" s="1020">
        <f t="shared" si="59"/>
        <v>0</v>
      </c>
      <c r="W170" s="1020">
        <f t="shared" si="65"/>
        <v>0</v>
      </c>
      <c r="X170" s="1020">
        <f t="shared" si="60"/>
        <v>0</v>
      </c>
      <c r="Y170" s="1020">
        <f t="shared" si="61"/>
        <v>0</v>
      </c>
      <c r="Z170" s="842">
        <f t="shared" si="72"/>
        <v>0</v>
      </c>
      <c r="AA170" s="842">
        <f t="shared" si="62"/>
        <v>0</v>
      </c>
      <c r="AB170" s="842">
        <f t="shared" si="62"/>
        <v>0</v>
      </c>
      <c r="AC170" s="842">
        <f t="shared" si="68"/>
        <v>0</v>
      </c>
      <c r="AD170" s="1020">
        <f t="shared" si="66"/>
        <v>0</v>
      </c>
      <c r="AE170" s="1537">
        <f t="shared" si="67"/>
        <v>0</v>
      </c>
    </row>
    <row r="171" spans="1:31" s="1024" customFormat="1" ht="30.75" hidden="1" customHeight="1">
      <c r="A171" s="2064"/>
      <c r="B171" s="2065"/>
      <c r="C171" s="843"/>
      <c r="D171" s="843"/>
      <c r="E171" s="840"/>
      <c r="F171" s="841"/>
      <c r="G171" s="841"/>
      <c r="H171" s="841">
        <f t="shared" si="52"/>
        <v>240</v>
      </c>
      <c r="I171" s="840">
        <f t="shared" si="71"/>
        <v>3.96</v>
      </c>
      <c r="J171" s="840"/>
      <c r="K171" s="840">
        <f t="shared" si="63"/>
        <v>0.84</v>
      </c>
      <c r="L171" s="840">
        <f t="shared" si="53"/>
        <v>1.04</v>
      </c>
      <c r="M171" s="1020">
        <f t="shared" si="54"/>
        <v>0</v>
      </c>
      <c r="N171" s="1020">
        <f t="shared" si="69"/>
        <v>0</v>
      </c>
      <c r="O171" s="1020">
        <f t="shared" si="55"/>
        <v>0</v>
      </c>
      <c r="P171" s="1020">
        <f t="shared" si="56"/>
        <v>0</v>
      </c>
      <c r="Q171" s="1020">
        <f t="shared" si="70"/>
        <v>0</v>
      </c>
      <c r="R171" s="1020">
        <v>0.2</v>
      </c>
      <c r="S171" s="1020">
        <f t="shared" si="57"/>
        <v>0</v>
      </c>
      <c r="T171" s="1020">
        <f t="shared" si="64"/>
        <v>0</v>
      </c>
      <c r="U171" s="1020">
        <f t="shared" si="58"/>
        <v>0</v>
      </c>
      <c r="V171" s="1020">
        <f t="shared" si="59"/>
        <v>0</v>
      </c>
      <c r="W171" s="1020">
        <f t="shared" si="65"/>
        <v>0</v>
      </c>
      <c r="X171" s="1020">
        <f t="shared" si="60"/>
        <v>0</v>
      </c>
      <c r="Y171" s="1020">
        <f t="shared" si="61"/>
        <v>0</v>
      </c>
      <c r="Z171" s="842">
        <f t="shared" si="72"/>
        <v>0</v>
      </c>
      <c r="AA171" s="842">
        <f t="shared" si="62"/>
        <v>0</v>
      </c>
      <c r="AB171" s="842">
        <f t="shared" si="62"/>
        <v>0</v>
      </c>
      <c r="AC171" s="842">
        <f t="shared" si="68"/>
        <v>0</v>
      </c>
      <c r="AD171" s="1020">
        <f t="shared" si="66"/>
        <v>0</v>
      </c>
      <c r="AE171" s="1537">
        <f t="shared" si="67"/>
        <v>0</v>
      </c>
    </row>
    <row r="172" spans="1:31" s="1024" customFormat="1" ht="30.75" hidden="1" customHeight="1">
      <c r="A172" s="2064"/>
      <c r="B172" s="2065"/>
      <c r="C172" s="843"/>
      <c r="D172" s="843"/>
      <c r="E172" s="840"/>
      <c r="F172" s="841"/>
      <c r="G172" s="841"/>
      <c r="H172" s="841">
        <f t="shared" si="52"/>
        <v>240</v>
      </c>
      <c r="I172" s="840">
        <f t="shared" si="71"/>
        <v>3.96</v>
      </c>
      <c r="J172" s="840"/>
      <c r="K172" s="840">
        <f t="shared" si="63"/>
        <v>0.84</v>
      </c>
      <c r="L172" s="840">
        <f t="shared" si="53"/>
        <v>1.04</v>
      </c>
      <c r="M172" s="1020">
        <f t="shared" si="54"/>
        <v>0</v>
      </c>
      <c r="N172" s="1020">
        <f t="shared" si="69"/>
        <v>0</v>
      </c>
      <c r="O172" s="1020">
        <f t="shared" si="55"/>
        <v>0</v>
      </c>
      <c r="P172" s="1020">
        <f t="shared" si="56"/>
        <v>0</v>
      </c>
      <c r="Q172" s="1020">
        <f t="shared" si="70"/>
        <v>0</v>
      </c>
      <c r="R172" s="1020">
        <v>0.2</v>
      </c>
      <c r="S172" s="1020">
        <f t="shared" si="57"/>
        <v>0</v>
      </c>
      <c r="T172" s="1020">
        <f t="shared" si="64"/>
        <v>0</v>
      </c>
      <c r="U172" s="1020">
        <f t="shared" si="58"/>
        <v>0</v>
      </c>
      <c r="V172" s="1020">
        <f t="shared" si="59"/>
        <v>0</v>
      </c>
      <c r="W172" s="1020">
        <f t="shared" si="65"/>
        <v>0</v>
      </c>
      <c r="X172" s="1020">
        <f t="shared" si="60"/>
        <v>0</v>
      </c>
      <c r="Y172" s="1020">
        <f t="shared" si="61"/>
        <v>0</v>
      </c>
      <c r="Z172" s="842">
        <f t="shared" si="72"/>
        <v>0</v>
      </c>
      <c r="AA172" s="842">
        <f t="shared" si="62"/>
        <v>0</v>
      </c>
      <c r="AB172" s="842">
        <f t="shared" si="62"/>
        <v>0</v>
      </c>
      <c r="AC172" s="842">
        <f t="shared" si="68"/>
        <v>0</v>
      </c>
      <c r="AD172" s="1020">
        <f t="shared" si="66"/>
        <v>0</v>
      </c>
      <c r="AE172" s="1537">
        <f t="shared" si="67"/>
        <v>0</v>
      </c>
    </row>
    <row r="173" spans="1:31" s="1024" customFormat="1" ht="30.75" hidden="1" customHeight="1">
      <c r="A173" s="2064"/>
      <c r="B173" s="2065"/>
      <c r="C173" s="843"/>
      <c r="D173" s="843"/>
      <c r="E173" s="840"/>
      <c r="F173" s="841"/>
      <c r="G173" s="841"/>
      <c r="H173" s="841">
        <f t="shared" si="52"/>
        <v>240</v>
      </c>
      <c r="I173" s="840">
        <f t="shared" si="71"/>
        <v>3.96</v>
      </c>
      <c r="J173" s="840"/>
      <c r="K173" s="840">
        <f t="shared" si="63"/>
        <v>0.84</v>
      </c>
      <c r="L173" s="840">
        <f t="shared" si="53"/>
        <v>1.04</v>
      </c>
      <c r="M173" s="1020">
        <f t="shared" si="54"/>
        <v>0</v>
      </c>
      <c r="N173" s="1020">
        <f t="shared" si="69"/>
        <v>0</v>
      </c>
      <c r="O173" s="1020">
        <f t="shared" si="55"/>
        <v>0</v>
      </c>
      <c r="P173" s="1020">
        <f t="shared" si="56"/>
        <v>0</v>
      </c>
      <c r="Q173" s="1020">
        <f t="shared" si="70"/>
        <v>0</v>
      </c>
      <c r="R173" s="1020">
        <v>0.2</v>
      </c>
      <c r="S173" s="1020">
        <f t="shared" si="57"/>
        <v>0</v>
      </c>
      <c r="T173" s="1020">
        <f t="shared" si="64"/>
        <v>0</v>
      </c>
      <c r="U173" s="1020">
        <f t="shared" si="58"/>
        <v>0</v>
      </c>
      <c r="V173" s="1020">
        <f t="shared" si="59"/>
        <v>0</v>
      </c>
      <c r="W173" s="1020">
        <f t="shared" si="65"/>
        <v>0</v>
      </c>
      <c r="X173" s="1020">
        <f t="shared" si="60"/>
        <v>0</v>
      </c>
      <c r="Y173" s="1020">
        <f t="shared" si="61"/>
        <v>0</v>
      </c>
      <c r="Z173" s="842">
        <f t="shared" si="72"/>
        <v>0</v>
      </c>
      <c r="AA173" s="842">
        <f t="shared" si="62"/>
        <v>0</v>
      </c>
      <c r="AB173" s="842">
        <f t="shared" si="62"/>
        <v>0</v>
      </c>
      <c r="AC173" s="842">
        <f t="shared" si="68"/>
        <v>0</v>
      </c>
      <c r="AD173" s="1020">
        <f t="shared" si="66"/>
        <v>0</v>
      </c>
      <c r="AE173" s="1537">
        <f t="shared" si="67"/>
        <v>0</v>
      </c>
    </row>
    <row r="174" spans="1:31" s="1024" customFormat="1" ht="30.75" hidden="1" customHeight="1">
      <c r="A174" s="2064"/>
      <c r="B174" s="2065"/>
      <c r="C174" s="843"/>
      <c r="D174" s="843"/>
      <c r="E174" s="840"/>
      <c r="F174" s="841"/>
      <c r="G174" s="841"/>
      <c r="H174" s="841">
        <f t="shared" si="52"/>
        <v>240</v>
      </c>
      <c r="I174" s="840">
        <f t="shared" si="71"/>
        <v>3.96</v>
      </c>
      <c r="J174" s="840"/>
      <c r="K174" s="840">
        <f t="shared" si="63"/>
        <v>0.84</v>
      </c>
      <c r="L174" s="840">
        <f t="shared" si="53"/>
        <v>1.04</v>
      </c>
      <c r="M174" s="1020">
        <f t="shared" si="54"/>
        <v>0</v>
      </c>
      <c r="N174" s="1020">
        <f t="shared" si="69"/>
        <v>0</v>
      </c>
      <c r="O174" s="1020">
        <f t="shared" si="55"/>
        <v>0</v>
      </c>
      <c r="P174" s="1020">
        <f t="shared" si="56"/>
        <v>0</v>
      </c>
      <c r="Q174" s="1020">
        <f t="shared" si="70"/>
        <v>0</v>
      </c>
      <c r="R174" s="1020">
        <v>0.2</v>
      </c>
      <c r="S174" s="1020">
        <f t="shared" si="57"/>
        <v>0</v>
      </c>
      <c r="T174" s="1020">
        <f t="shared" si="64"/>
        <v>0</v>
      </c>
      <c r="U174" s="1020">
        <f t="shared" si="58"/>
        <v>0</v>
      </c>
      <c r="V174" s="1020">
        <f t="shared" si="59"/>
        <v>0</v>
      </c>
      <c r="W174" s="1020">
        <f t="shared" si="65"/>
        <v>0</v>
      </c>
      <c r="X174" s="1020">
        <f t="shared" si="60"/>
        <v>0</v>
      </c>
      <c r="Y174" s="1020">
        <f t="shared" si="61"/>
        <v>0</v>
      </c>
      <c r="Z174" s="842">
        <f t="shared" si="72"/>
        <v>0</v>
      </c>
      <c r="AA174" s="842">
        <f t="shared" si="62"/>
        <v>0</v>
      </c>
      <c r="AB174" s="842">
        <f t="shared" si="62"/>
        <v>0</v>
      </c>
      <c r="AC174" s="842">
        <f t="shared" si="68"/>
        <v>0</v>
      </c>
      <c r="AD174" s="1020">
        <f t="shared" si="66"/>
        <v>0</v>
      </c>
      <c r="AE174" s="1537">
        <f t="shared" si="67"/>
        <v>0</v>
      </c>
    </row>
    <row r="175" spans="1:31" s="1024" customFormat="1" ht="30.75" hidden="1" customHeight="1">
      <c r="A175" s="2064"/>
      <c r="B175" s="2065"/>
      <c r="C175" s="843"/>
      <c r="D175" s="843"/>
      <c r="E175" s="840"/>
      <c r="F175" s="841"/>
      <c r="G175" s="841"/>
      <c r="H175" s="841"/>
      <c r="I175" s="840"/>
      <c r="J175" s="840"/>
      <c r="K175" s="840"/>
      <c r="L175" s="840"/>
      <c r="M175" s="1020"/>
      <c r="N175" s="1020"/>
      <c r="O175" s="1020"/>
      <c r="P175" s="1020"/>
      <c r="Q175" s="1020"/>
      <c r="R175" s="1020"/>
      <c r="S175" s="1020"/>
      <c r="T175" s="1020"/>
      <c r="U175" s="1020"/>
      <c r="V175" s="1020"/>
      <c r="W175" s="1020"/>
      <c r="X175" s="1020"/>
      <c r="Y175" s="1020"/>
      <c r="Z175" s="842"/>
      <c r="AA175" s="842"/>
      <c r="AB175" s="842"/>
      <c r="AC175" s="842">
        <f t="shared" si="68"/>
        <v>0</v>
      </c>
      <c r="AD175" s="1020"/>
      <c r="AE175" s="1537"/>
    </row>
    <row r="176" spans="1:31" s="1024" customFormat="1" ht="30.75" customHeight="1">
      <c r="A176" s="2066" t="s">
        <v>1201</v>
      </c>
      <c r="B176" s="2067"/>
      <c r="C176" s="2068"/>
      <c r="D176" s="2067"/>
      <c r="E176" s="1026">
        <f>C176*6</f>
        <v>0</v>
      </c>
      <c r="F176" s="1025">
        <v>400</v>
      </c>
      <c r="G176" s="841" t="s">
        <v>1200</v>
      </c>
      <c r="H176" s="841">
        <f t="shared" si="52"/>
        <v>480</v>
      </c>
      <c r="I176" s="844">
        <f t="shared" ref="I176" si="73">H176/1000+0.75</f>
        <v>1.23</v>
      </c>
      <c r="J176" s="844"/>
      <c r="K176" s="844">
        <f>H176/1000+0.6</f>
        <v>1.08</v>
      </c>
      <c r="L176" s="844">
        <f t="shared" ref="L176" si="74">K176+R176</f>
        <v>1.28</v>
      </c>
      <c r="M176" s="1026">
        <f t="shared" ref="M176" si="75">ROUND(E176*I176*L176,2)</f>
        <v>0</v>
      </c>
      <c r="N176" s="1026">
        <f t="shared" ref="N176" si="76">ROUND(E176*I176*L176,2)*0.4</f>
        <v>0</v>
      </c>
      <c r="O176" s="1026">
        <f t="shared" ref="O176" si="77">N176</f>
        <v>0</v>
      </c>
      <c r="P176" s="1026">
        <f t="shared" ref="P176" si="78">N176-O176</f>
        <v>0</v>
      </c>
      <c r="Q176" s="1026">
        <f>ROUND(E176*I176*L176,2)*1</f>
        <v>0</v>
      </c>
      <c r="R176" s="1026">
        <v>0.2</v>
      </c>
      <c r="S176" s="1026">
        <f t="shared" ref="S176" si="79">ROUND(E176*I176*R176,2)</f>
        <v>0</v>
      </c>
      <c r="T176" s="1020">
        <f t="shared" si="64"/>
        <v>0</v>
      </c>
      <c r="U176" s="1026">
        <f t="shared" ref="U176" si="80">ROUND(3.1416*((H176/1000/2)^2)*E176,2)</f>
        <v>0</v>
      </c>
      <c r="V176" s="1026">
        <f t="shared" ref="V176" si="81">(N176+Q176)-S176-U176</f>
        <v>0</v>
      </c>
      <c r="W176" s="1026">
        <f t="shared" ref="W176" si="82">M176-(U176+S176+O176)</f>
        <v>0</v>
      </c>
      <c r="X176" s="1026">
        <f t="shared" ref="X176" si="83">O176</f>
        <v>0</v>
      </c>
      <c r="Y176" s="1026">
        <f t="shared" ref="Y176" si="84">Q176+P176</f>
        <v>0</v>
      </c>
      <c r="Z176" s="845">
        <f t="shared" ref="Z176" si="85">ROUND(Y176*1.3*4,2)</f>
        <v>0</v>
      </c>
      <c r="AA176" s="842">
        <f>ROUND(W176*30,2)</f>
        <v>0</v>
      </c>
      <c r="AB176" s="842">
        <f>ROUND(X176*22,2)</f>
        <v>0</v>
      </c>
      <c r="AC176" s="842">
        <f t="shared" si="68"/>
        <v>0</v>
      </c>
      <c r="AD176" s="1020">
        <f>IF(OR(L176&gt;1.5,L176&lt;1.3),,L176*E176*2)</f>
        <v>0</v>
      </c>
      <c r="AE176" s="1537">
        <f t="shared" ref="AE176" si="86">IF(OR(L176=1.5,L176&gt;1.5),L176*E176*2,)</f>
        <v>0</v>
      </c>
    </row>
    <row r="177" spans="1:31" s="848" customFormat="1" ht="44.65" customHeight="1">
      <c r="A177" s="2069" t="s">
        <v>22</v>
      </c>
      <c r="B177" s="2070"/>
      <c r="C177" s="2070"/>
      <c r="D177" s="2070"/>
      <c r="E177" s="846"/>
      <c r="F177" s="847">
        <v>1500</v>
      </c>
      <c r="G177" s="847"/>
      <c r="H177" s="846"/>
      <c r="I177" s="846"/>
      <c r="J177" s="846"/>
      <c r="K177" s="846"/>
      <c r="L177" s="846">
        <v>2.64</v>
      </c>
      <c r="M177" s="846">
        <f>SUM(M9:M176)</f>
        <v>0</v>
      </c>
      <c r="N177" s="846">
        <f t="shared" ref="N177:O177" si="87">SUM(N9:N176)</f>
        <v>0</v>
      </c>
      <c r="O177" s="846">
        <f t="shared" si="87"/>
        <v>0</v>
      </c>
      <c r="P177" s="846">
        <f>SUM(P9:P176)</f>
        <v>0</v>
      </c>
      <c r="Q177" s="846">
        <f>SUM(Q9:Q176)</f>
        <v>0</v>
      </c>
      <c r="R177" s="846"/>
      <c r="S177" s="846">
        <f t="shared" ref="S177:AA177" si="88">SUM(S9:S176)</f>
        <v>0</v>
      </c>
      <c r="T177" s="846">
        <f t="shared" si="88"/>
        <v>0</v>
      </c>
      <c r="U177" s="846">
        <f t="shared" si="88"/>
        <v>0</v>
      </c>
      <c r="V177" s="846">
        <f t="shared" si="88"/>
        <v>0</v>
      </c>
      <c r="W177" s="846">
        <f t="shared" si="88"/>
        <v>0</v>
      </c>
      <c r="X177" s="846">
        <f t="shared" si="88"/>
        <v>0</v>
      </c>
      <c r="Y177" s="846">
        <f t="shared" si="88"/>
        <v>0</v>
      </c>
      <c r="Z177" s="846">
        <f t="shared" si="88"/>
        <v>0</v>
      </c>
      <c r="AA177" s="846">
        <f t="shared" si="88"/>
        <v>0</v>
      </c>
      <c r="AB177" s="846">
        <f t="shared" ref="AB177:AE177" si="89">SUM(AB9:AB176)</f>
        <v>0</v>
      </c>
      <c r="AC177" s="846">
        <f t="shared" si="89"/>
        <v>0</v>
      </c>
      <c r="AD177" s="846">
        <f t="shared" si="89"/>
        <v>0</v>
      </c>
      <c r="AE177" s="1538">
        <f t="shared" si="89"/>
        <v>0</v>
      </c>
    </row>
    <row r="178" spans="1:31" s="1032" customFormat="1" ht="26.65" customHeight="1" thickBot="1">
      <c r="A178" s="1027"/>
      <c r="B178" s="1027"/>
      <c r="C178" s="1028"/>
      <c r="D178" s="1028"/>
      <c r="E178" s="1028"/>
      <c r="F178" s="1028"/>
      <c r="G178" s="1028"/>
      <c r="H178" s="1029"/>
      <c r="I178" s="1029"/>
      <c r="J178" s="1029"/>
      <c r="K178" s="1030">
        <f>IF(E9&lt;=0,,SUMPRODUCT(E9:E19,K9:K19)/SUM(E9:E19))</f>
        <v>0</v>
      </c>
      <c r="L178" s="1030"/>
      <c r="M178" s="1030"/>
      <c r="N178" s="1031"/>
      <c r="O178" s="1031"/>
      <c r="P178" s="1031"/>
      <c r="Q178" s="1031"/>
      <c r="R178" s="1031"/>
      <c r="S178" s="1031"/>
      <c r="T178" s="1031"/>
      <c r="U178" s="1031"/>
      <c r="V178" s="1031"/>
      <c r="W178" s="1031"/>
      <c r="X178" s="1031"/>
      <c r="Z178" s="849"/>
      <c r="AA178" s="849"/>
      <c r="AB178" s="849"/>
      <c r="AC178" s="849"/>
    </row>
    <row r="179" spans="1:31" s="1032" customFormat="1" ht="26.65" customHeight="1" thickBot="1">
      <c r="A179" s="1027"/>
      <c r="B179" s="1027"/>
      <c r="C179" s="1028"/>
      <c r="D179" s="1028"/>
      <c r="E179" s="1028"/>
      <c r="F179" s="850" t="s">
        <v>1202</v>
      </c>
      <c r="G179" s="851"/>
      <c r="H179" s="852"/>
      <c r="I179" s="852"/>
      <c r="J179" s="852"/>
      <c r="K179" s="1030"/>
      <c r="L179" s="1030"/>
      <c r="M179" s="1030"/>
      <c r="N179" s="1031"/>
      <c r="O179" s="1031"/>
      <c r="P179" s="1031"/>
      <c r="Q179" s="853" t="str">
        <f>F179</f>
        <v>PROPOSTO</v>
      </c>
      <c r="R179" s="852"/>
      <c r="T179" s="2071" t="s">
        <v>1203</v>
      </c>
      <c r="U179" s="2072"/>
      <c r="V179" s="2073"/>
      <c r="W179" s="1031"/>
      <c r="X179" s="1031"/>
      <c r="Z179" s="849"/>
      <c r="AA179" s="849"/>
      <c r="AB179" s="849"/>
      <c r="AC179" s="849"/>
    </row>
    <row r="180" spans="1:31" s="884" customFormat="1" ht="26.65" customHeight="1" thickBot="1">
      <c r="A180" s="2074" t="s">
        <v>1204</v>
      </c>
      <c r="B180" s="2075"/>
      <c r="C180" s="2075"/>
      <c r="D180" s="2076"/>
      <c r="E180" s="1033" t="s">
        <v>1205</v>
      </c>
      <c r="F180" s="854">
        <f>SUMIF($L$9:$L$176,"&lt;=1,50",$N$9:$N$176)</f>
        <v>0</v>
      </c>
      <c r="G180" s="855"/>
      <c r="H180" s="1034"/>
      <c r="I180" s="856"/>
      <c r="J180" s="856"/>
      <c r="K180" s="1035" t="s">
        <v>1206</v>
      </c>
      <c r="L180" s="2074" t="s">
        <v>1206</v>
      </c>
      <c r="M180" s="2075"/>
      <c r="N180" s="2075"/>
      <c r="O180" s="2076"/>
      <c r="P180" s="1036" t="s">
        <v>1205</v>
      </c>
      <c r="Q180" s="857">
        <f>SUMIF($L$9:$L$176,"&lt;=1,50",$Q$9:$Q$176)</f>
        <v>0</v>
      </c>
      <c r="R180" s="856"/>
      <c r="S180" s="1031"/>
      <c r="T180" s="2083" t="s">
        <v>1207</v>
      </c>
      <c r="U180" s="1037" t="s">
        <v>761</v>
      </c>
      <c r="V180" s="1038" t="s">
        <v>1208</v>
      </c>
      <c r="X180" s="858"/>
      <c r="Y180" s="1039"/>
      <c r="Z180" s="2100"/>
      <c r="AA180" s="2100"/>
      <c r="AB180" s="2100"/>
      <c r="AC180" s="2100"/>
      <c r="AD180" s="2100"/>
      <c r="AE180" s="2100"/>
    </row>
    <row r="181" spans="1:31" s="884" customFormat="1" ht="26.65" customHeight="1">
      <c r="A181" s="2077"/>
      <c r="B181" s="2078"/>
      <c r="C181" s="2078"/>
      <c r="D181" s="2079"/>
      <c r="E181" s="1041" t="s">
        <v>1209</v>
      </c>
      <c r="F181" s="854">
        <f>N177-F180-F182</f>
        <v>0</v>
      </c>
      <c r="G181" s="855"/>
      <c r="H181" s="1042"/>
      <c r="I181" s="856"/>
      <c r="J181" s="856"/>
      <c r="K181" s="1035"/>
      <c r="L181" s="2077"/>
      <c r="M181" s="2078"/>
      <c r="N181" s="2078"/>
      <c r="O181" s="2079"/>
      <c r="P181" s="1043" t="s">
        <v>1209</v>
      </c>
      <c r="Q181" s="859">
        <f>Q177-Q180-Q182</f>
        <v>0</v>
      </c>
      <c r="R181" s="856"/>
      <c r="S181" s="1031"/>
      <c r="T181" s="2084"/>
      <c r="U181" s="2101"/>
      <c r="V181" s="2103">
        <f>Q270</f>
        <v>1788</v>
      </c>
      <c r="X181" s="858"/>
      <c r="Y181" s="1039"/>
      <c r="Z181" s="2098"/>
      <c r="AA181" s="2098"/>
      <c r="AB181" s="2098"/>
      <c r="AC181" s="2098"/>
      <c r="AD181" s="2098"/>
      <c r="AE181" s="2098"/>
    </row>
    <row r="182" spans="1:31" s="884" customFormat="1" ht="26.65" customHeight="1" thickBot="1">
      <c r="A182" s="2080"/>
      <c r="B182" s="2081"/>
      <c r="C182" s="2081"/>
      <c r="D182" s="2082"/>
      <c r="E182" s="1045" t="s">
        <v>1210</v>
      </c>
      <c r="F182" s="854">
        <f>SUMIF($L$9:$L$176,"&gt;3,00",$N$9:$N$176)</f>
        <v>0</v>
      </c>
      <c r="G182" s="855"/>
      <c r="H182" s="1042"/>
      <c r="I182" s="856"/>
      <c r="J182" s="856"/>
      <c r="K182" s="1035"/>
      <c r="L182" s="2080"/>
      <c r="M182" s="2081"/>
      <c r="N182" s="2081"/>
      <c r="O182" s="2082"/>
      <c r="P182" s="1046" t="s">
        <v>1210</v>
      </c>
      <c r="Q182" s="1047">
        <f>SUMIF($L$9:$L$176,"&gt;3,00",$Q$9:$Q$176)</f>
        <v>0</v>
      </c>
      <c r="R182" s="856"/>
      <c r="S182" s="1031"/>
      <c r="T182" s="2085"/>
      <c r="U182" s="2102"/>
      <c r="V182" s="2104"/>
      <c r="X182" s="1048"/>
      <c r="Y182" s="1039"/>
      <c r="Z182" s="2098"/>
      <c r="AA182" s="2098"/>
      <c r="AB182" s="2098"/>
      <c r="AC182" s="2098"/>
      <c r="AD182" s="2098"/>
      <c r="AE182" s="2098"/>
    </row>
    <row r="183" spans="1:31" s="1032" customFormat="1" ht="26.65" customHeight="1" thickBot="1">
      <c r="A183" s="1049"/>
      <c r="B183" s="1049"/>
      <c r="C183" s="1049"/>
      <c r="D183" s="1049"/>
      <c r="E183" s="1050"/>
      <c r="F183" s="860"/>
      <c r="G183" s="860"/>
      <c r="H183" s="1042"/>
      <c r="I183" s="1051"/>
      <c r="J183" s="1051"/>
      <c r="K183" s="1035"/>
      <c r="L183" s="1049"/>
      <c r="M183" s="1049"/>
      <c r="N183" s="1049"/>
      <c r="O183" s="1049"/>
      <c r="P183" s="1050"/>
      <c r="Q183" s="1052"/>
      <c r="R183" s="1035"/>
      <c r="S183" s="1053"/>
      <c r="T183" s="2105" t="s">
        <v>1211</v>
      </c>
      <c r="U183" s="2106">
        <v>230</v>
      </c>
      <c r="V183" s="2106">
        <v>1284</v>
      </c>
      <c r="W183" s="1054"/>
      <c r="X183" s="1052"/>
      <c r="Y183" s="1039"/>
      <c r="Z183" s="1044"/>
      <c r="AA183" s="1044"/>
      <c r="AB183" s="1044"/>
      <c r="AC183" s="1044"/>
      <c r="AD183" s="1044"/>
      <c r="AE183" s="1044"/>
    </row>
    <row r="184" spans="1:31" s="884" customFormat="1" ht="32.25" hidden="1" customHeight="1" thickBot="1">
      <c r="F184" s="853" t="str">
        <f>F179</f>
        <v>PROPOSTO</v>
      </c>
      <c r="G184" s="851"/>
      <c r="H184" s="852"/>
      <c r="I184" s="852"/>
      <c r="J184" s="852"/>
      <c r="K184" s="1032"/>
      <c r="L184" s="1032"/>
      <c r="M184" s="1032"/>
      <c r="N184" s="1032"/>
      <c r="O184" s="1032"/>
      <c r="P184" s="1032"/>
      <c r="Q184" s="1032"/>
      <c r="R184" s="1032"/>
      <c r="S184" s="1055"/>
      <c r="T184" s="2105"/>
      <c r="U184" s="2106"/>
      <c r="V184" s="2106"/>
      <c r="W184" s="1056"/>
      <c r="X184" s="861"/>
      <c r="Y184" s="1039"/>
      <c r="Z184" s="2098"/>
      <c r="AA184" s="2098"/>
      <c r="AB184" s="2098"/>
      <c r="AC184" s="2098"/>
      <c r="AD184" s="2098"/>
      <c r="AE184" s="2098"/>
    </row>
    <row r="185" spans="1:31" s="884" customFormat="1" ht="26.65" hidden="1" customHeight="1" thickBot="1">
      <c r="A185" s="2086" t="s">
        <v>1212</v>
      </c>
      <c r="B185" s="2087"/>
      <c r="C185" s="2087"/>
      <c r="D185" s="2088"/>
      <c r="E185" s="1057">
        <v>400</v>
      </c>
      <c r="F185" s="862">
        <f>SUMIF($F$9:$F$176,"400",$E$9:$E$176)</f>
        <v>0</v>
      </c>
      <c r="G185" s="863"/>
      <c r="H185" s="891"/>
      <c r="I185" s="856"/>
      <c r="J185" s="856"/>
      <c r="K185" s="1035"/>
      <c r="L185" s="1032"/>
      <c r="M185" s="1032"/>
      <c r="N185" s="1032"/>
      <c r="O185" s="1032"/>
      <c r="P185" s="1032"/>
      <c r="Q185" s="853" t="str">
        <f>Q179</f>
        <v>PROPOSTO</v>
      </c>
      <c r="R185" s="852"/>
      <c r="T185" s="1058"/>
      <c r="U185" s="1058"/>
      <c r="V185" s="1059"/>
      <c r="W185" s="858"/>
      <c r="X185" s="860"/>
      <c r="Y185" s="1039"/>
      <c r="Z185" s="2098"/>
      <c r="AA185" s="2098"/>
      <c r="AB185" s="2098"/>
      <c r="AC185" s="2098"/>
      <c r="AD185" s="2098"/>
      <c r="AE185" s="2098"/>
    </row>
    <row r="186" spans="1:31" s="884" customFormat="1" ht="26.65" hidden="1" customHeight="1">
      <c r="A186" s="2089"/>
      <c r="B186" s="2090"/>
      <c r="C186" s="2090"/>
      <c r="D186" s="2091"/>
      <c r="E186" s="1060">
        <v>500</v>
      </c>
      <c r="F186" s="864">
        <f>SUMIF($F$9:$F$176,"500",$E$9:$E$176)</f>
        <v>0</v>
      </c>
      <c r="G186" s="863"/>
      <c r="H186" s="1061"/>
      <c r="I186" s="856"/>
      <c r="J186" s="856"/>
      <c r="K186" s="1035"/>
      <c r="L186" s="2074" t="s">
        <v>326</v>
      </c>
      <c r="M186" s="2075"/>
      <c r="N186" s="2075"/>
      <c r="O186" s="2076"/>
      <c r="P186" s="1057">
        <v>500</v>
      </c>
      <c r="Q186" s="862"/>
      <c r="R186" s="856"/>
      <c r="S186" s="1062"/>
      <c r="T186" s="1058"/>
      <c r="U186" s="1058"/>
      <c r="V186" s="1059"/>
      <c r="W186" s="858"/>
      <c r="X186" s="860"/>
      <c r="Y186" s="1039"/>
      <c r="Z186" s="865"/>
      <c r="AA186" s="865"/>
      <c r="AB186" s="865"/>
      <c r="AC186" s="865"/>
      <c r="AD186" s="1044"/>
      <c r="AE186" s="1044"/>
    </row>
    <row r="187" spans="1:31" s="884" customFormat="1" ht="26.65" hidden="1" customHeight="1">
      <c r="A187" s="2092"/>
      <c r="B187" s="2093"/>
      <c r="C187" s="2093"/>
      <c r="D187" s="2094"/>
      <c r="E187" s="1063">
        <v>600</v>
      </c>
      <c r="F187" s="864">
        <f>SUMIF($F$9:$F$176,"600",$E$9:$E$176)</f>
        <v>0</v>
      </c>
      <c r="G187" s="863"/>
      <c r="H187" s="1042"/>
      <c r="I187" s="856"/>
      <c r="J187" s="856"/>
      <c r="K187" s="1035"/>
      <c r="L187" s="2077"/>
      <c r="M187" s="2078"/>
      <c r="N187" s="2078"/>
      <c r="O187" s="2079"/>
      <c r="P187" s="1063">
        <v>600</v>
      </c>
      <c r="Q187" s="864"/>
      <c r="R187" s="856"/>
      <c r="S187" s="1062"/>
      <c r="T187" s="1064"/>
      <c r="U187" s="1058"/>
      <c r="V187" s="1059"/>
      <c r="W187" s="858"/>
      <c r="X187" s="860"/>
      <c r="Y187" s="1039"/>
      <c r="Z187" s="2098"/>
      <c r="AA187" s="2098"/>
      <c r="AB187" s="2098"/>
      <c r="AC187" s="2098"/>
      <c r="AD187" s="2098"/>
      <c r="AE187" s="2098"/>
    </row>
    <row r="188" spans="1:31" s="884" customFormat="1" ht="26.65" hidden="1" customHeight="1">
      <c r="A188" s="2092"/>
      <c r="B188" s="2093"/>
      <c r="C188" s="2093"/>
      <c r="D188" s="2094"/>
      <c r="E188" s="1063">
        <v>800</v>
      </c>
      <c r="F188" s="864">
        <f>SUMIF($F$9:$F$176,"800",$E$9:$E$176)</f>
        <v>0</v>
      </c>
      <c r="G188" s="863"/>
      <c r="H188" s="1042"/>
      <c r="I188" s="856"/>
      <c r="J188" s="856"/>
      <c r="K188" s="1065"/>
      <c r="L188" s="2077"/>
      <c r="M188" s="2078"/>
      <c r="N188" s="2078"/>
      <c r="O188" s="2079"/>
      <c r="P188" s="1063">
        <v>800</v>
      </c>
      <c r="Q188" s="864"/>
      <c r="R188" s="856"/>
      <c r="S188" s="1062"/>
      <c r="T188" s="1058"/>
      <c r="U188" s="1058"/>
      <c r="V188" s="1059"/>
      <c r="W188" s="858"/>
      <c r="X188" s="860"/>
      <c r="Y188" s="1039"/>
      <c r="Z188" s="2098"/>
      <c r="AA188" s="2098"/>
      <c r="AB188" s="2098"/>
      <c r="AC188" s="2098"/>
      <c r="AD188" s="2098"/>
      <c r="AE188" s="2098"/>
    </row>
    <row r="189" spans="1:31" s="884" customFormat="1" ht="26.65" hidden="1" customHeight="1">
      <c r="A189" s="2092"/>
      <c r="B189" s="2093"/>
      <c r="C189" s="2093"/>
      <c r="D189" s="2094"/>
      <c r="E189" s="1063">
        <v>1000</v>
      </c>
      <c r="F189" s="864">
        <f>SUMIF($F$9:$F$176,"1000",$E$9:$E$176)</f>
        <v>0</v>
      </c>
      <c r="G189" s="863"/>
      <c r="H189" s="1034"/>
      <c r="I189" s="856"/>
      <c r="J189" s="856"/>
      <c r="K189" s="1065"/>
      <c r="L189" s="2077"/>
      <c r="M189" s="2078"/>
      <c r="N189" s="2078"/>
      <c r="O189" s="2079"/>
      <c r="P189" s="1063">
        <v>1000</v>
      </c>
      <c r="Q189" s="864"/>
      <c r="R189" s="856"/>
      <c r="S189" s="2099"/>
      <c r="T189" s="2099"/>
      <c r="U189" s="1058"/>
      <c r="V189" s="1059"/>
      <c r="W189" s="858"/>
      <c r="X189" s="860"/>
      <c r="Y189" s="1039"/>
      <c r="Z189" s="865"/>
      <c r="AA189" s="865"/>
      <c r="AB189" s="865"/>
      <c r="AC189" s="865"/>
      <c r="AD189" s="1044"/>
      <c r="AE189" s="1044"/>
    </row>
    <row r="190" spans="1:31" s="884" customFormat="1" ht="26.65" hidden="1" customHeight="1">
      <c r="A190" s="2092"/>
      <c r="B190" s="2093"/>
      <c r="C190" s="2093"/>
      <c r="D190" s="2094"/>
      <c r="E190" s="1063">
        <v>1200</v>
      </c>
      <c r="F190" s="864">
        <f>SUMIF($F$9:$F$176,"1200",$E$9:$E$176)</f>
        <v>0</v>
      </c>
      <c r="G190" s="863"/>
      <c r="H190" s="1034"/>
      <c r="I190" s="856"/>
      <c r="J190" s="856"/>
      <c r="K190" s="1066"/>
      <c r="L190" s="2077"/>
      <c r="M190" s="2078"/>
      <c r="N190" s="2078"/>
      <c r="O190" s="2079"/>
      <c r="P190" s="1063">
        <v>1200</v>
      </c>
      <c r="Q190" s="864"/>
      <c r="R190" s="856"/>
      <c r="S190" s="1058"/>
      <c r="T190" s="1058"/>
      <c r="U190" s="1058"/>
      <c r="V190" s="1059"/>
      <c r="W190" s="858"/>
      <c r="X190" s="860"/>
      <c r="Y190" s="1039"/>
      <c r="Z190" s="2100"/>
      <c r="AA190" s="2100"/>
      <c r="AB190" s="2100"/>
      <c r="AC190" s="2100"/>
      <c r="AD190" s="2100"/>
      <c r="AE190" s="2100"/>
    </row>
    <row r="191" spans="1:31" s="884" customFormat="1" ht="26.65" hidden="1" customHeight="1" thickBot="1">
      <c r="A191" s="2095"/>
      <c r="B191" s="2096"/>
      <c r="C191" s="2096"/>
      <c r="D191" s="2097"/>
      <c r="E191" s="1067">
        <v>1500</v>
      </c>
      <c r="F191" s="866">
        <f>SUMIF(G9:G19,"D",E9:E19)*2+SUMIF(G9:G19,"T",E9:E19)*3+SUMIF(G9:G19,"",E9:E19)*4</f>
        <v>0</v>
      </c>
      <c r="G191" s="863"/>
      <c r="H191" s="1042"/>
      <c r="I191" s="856"/>
      <c r="J191" s="856"/>
      <c r="K191" s="1066"/>
      <c r="L191" s="2080"/>
      <c r="M191" s="2081"/>
      <c r="N191" s="2081"/>
      <c r="O191" s="2082"/>
      <c r="P191" s="1067">
        <v>1500</v>
      </c>
      <c r="Q191" s="866"/>
      <c r="R191" s="856"/>
      <c r="S191" s="1058"/>
      <c r="T191" s="1058"/>
      <c r="U191" s="1058"/>
      <c r="V191" s="1059"/>
      <c r="W191" s="858"/>
      <c r="Z191" s="867"/>
      <c r="AA191" s="867"/>
      <c r="AB191" s="867"/>
      <c r="AC191" s="867"/>
    </row>
    <row r="192" spans="1:31" s="884" customFormat="1" ht="26.65" hidden="1" customHeight="1" thickBot="1">
      <c r="A192" s="1068"/>
      <c r="B192" s="1068"/>
      <c r="I192" s="1069"/>
      <c r="J192" s="1069"/>
      <c r="K192" s="1066"/>
      <c r="S192" s="1058"/>
      <c r="T192" s="2107" t="s">
        <v>1213</v>
      </c>
      <c r="U192" s="2108"/>
      <c r="V192" s="2109"/>
      <c r="W192" s="868" t="s">
        <v>1214</v>
      </c>
      <c r="X192" s="868" t="s">
        <v>1215</v>
      </c>
      <c r="Y192" s="869" t="s">
        <v>22</v>
      </c>
      <c r="Z192" s="867"/>
      <c r="AA192" s="867"/>
      <c r="AB192" s="867"/>
      <c r="AC192" s="867"/>
      <c r="AD192" s="890"/>
      <c r="AE192" s="890"/>
    </row>
    <row r="193" spans="1:31" s="1032" customFormat="1" ht="45.75" hidden="1" customHeight="1" thickBot="1">
      <c r="F193" s="870" t="str">
        <f>F184</f>
        <v>PROPOSTO</v>
      </c>
      <c r="G193" s="851"/>
      <c r="H193" s="852"/>
      <c r="I193" s="852" t="s">
        <v>1211</v>
      </c>
      <c r="J193" s="852"/>
      <c r="S193" s="890"/>
      <c r="T193" s="2110"/>
      <c r="U193" s="2111"/>
      <c r="V193" s="2112"/>
      <c r="W193" s="871">
        <f>Z177</f>
        <v>0</v>
      </c>
      <c r="X193" s="871" t="e">
        <f>#REF!</f>
        <v>#REF!</v>
      </c>
      <c r="Y193" s="872" t="e">
        <f>W193+X193</f>
        <v>#REF!</v>
      </c>
      <c r="Z193" s="867"/>
      <c r="AA193" s="867"/>
      <c r="AB193" s="867"/>
      <c r="AC193" s="867"/>
      <c r="AD193" s="890"/>
      <c r="AE193" s="890"/>
    </row>
    <row r="194" spans="1:31" s="1032" customFormat="1" ht="45.75" customHeight="1" thickBot="1">
      <c r="A194" s="2086" t="s">
        <v>1216</v>
      </c>
      <c r="B194" s="2087"/>
      <c r="C194" s="2087"/>
      <c r="D194" s="2088"/>
      <c r="E194" s="1070">
        <v>400</v>
      </c>
      <c r="F194" s="873">
        <f>F185</f>
        <v>0</v>
      </c>
      <c r="G194" s="863"/>
      <c r="H194" s="891"/>
      <c r="I194" s="858"/>
      <c r="J194" s="858"/>
      <c r="K194" s="1071"/>
      <c r="S194" s="884"/>
      <c r="T194" s="884"/>
      <c r="U194" s="884"/>
      <c r="V194" s="884"/>
      <c r="W194" s="884"/>
      <c r="X194" s="884"/>
      <c r="Y194" s="884"/>
      <c r="Z194" s="867"/>
      <c r="AA194" s="867"/>
      <c r="AB194" s="867"/>
      <c r="AC194" s="867"/>
      <c r="AD194" s="890"/>
      <c r="AE194" s="890"/>
    </row>
    <row r="195" spans="1:31" s="1032" customFormat="1" ht="26.65" customHeight="1" thickBot="1">
      <c r="A195" s="2089"/>
      <c r="B195" s="2090"/>
      <c r="C195" s="2090"/>
      <c r="D195" s="2091"/>
      <c r="E195" s="1072">
        <v>500</v>
      </c>
      <c r="F195" s="874">
        <f>SUMIF($F$9:$F$176,"500",$E$9:$E$176)</f>
        <v>0</v>
      </c>
      <c r="G195" s="863"/>
      <c r="H195" s="1042"/>
      <c r="I195" s="856"/>
      <c r="J195" s="856"/>
      <c r="S195" s="890"/>
      <c r="T195" s="2113" t="s">
        <v>1217</v>
      </c>
      <c r="U195" s="2114"/>
      <c r="V195" s="2114"/>
      <c r="W195" s="2114"/>
      <c r="X195" s="2114"/>
      <c r="Y195" s="2114"/>
      <c r="Z195" s="2115"/>
      <c r="AA195" s="1124"/>
      <c r="AB195" s="1124"/>
      <c r="AC195" s="1124"/>
      <c r="AD195" s="890"/>
      <c r="AE195" s="890"/>
    </row>
    <row r="196" spans="1:31" s="884" customFormat="1" ht="22.9" customHeight="1" thickBot="1">
      <c r="A196" s="2092"/>
      <c r="B196" s="2093"/>
      <c r="C196" s="2093"/>
      <c r="D196" s="2094"/>
      <c r="E196" s="1073">
        <v>600</v>
      </c>
      <c r="F196" s="874">
        <f>SUMIF($F$9:$F$176,"600",$E$9:$E$176)</f>
        <v>0</v>
      </c>
      <c r="G196" s="863"/>
      <c r="H196" s="1042"/>
      <c r="I196" s="856"/>
      <c r="J196" s="856"/>
      <c r="S196" s="1048"/>
      <c r="U196" s="1065"/>
      <c r="V196" s="892"/>
      <c r="W196" s="892"/>
      <c r="X196" s="892"/>
      <c r="Y196" s="892"/>
      <c r="Z196" s="867"/>
      <c r="AA196" s="867"/>
      <c r="AB196" s="867"/>
      <c r="AC196" s="867"/>
    </row>
    <row r="197" spans="1:31" s="884" customFormat="1" ht="47.25" customHeight="1">
      <c r="A197" s="2092"/>
      <c r="B197" s="2093"/>
      <c r="C197" s="2093"/>
      <c r="D197" s="2094"/>
      <c r="E197" s="1073">
        <v>800</v>
      </c>
      <c r="F197" s="874">
        <f>SUMIF($F$9:$F$176,"800",$E$9:$E$176)</f>
        <v>0</v>
      </c>
      <c r="G197" s="863"/>
      <c r="H197" s="1042"/>
      <c r="I197" s="856"/>
      <c r="J197" s="856"/>
      <c r="O197" s="891"/>
      <c r="S197" s="1048"/>
      <c r="U197" s="2116" t="s">
        <v>1218</v>
      </c>
      <c r="V197" s="2117"/>
      <c r="W197" s="2117"/>
      <c r="X197" s="2117"/>
      <c r="Y197" s="2117"/>
      <c r="Z197" s="875"/>
      <c r="AA197" s="1539"/>
      <c r="AB197" s="1539"/>
      <c r="AC197" s="1539"/>
    </row>
    <row r="198" spans="1:31" s="884" customFormat="1" ht="26.65" customHeight="1">
      <c r="A198" s="2092"/>
      <c r="B198" s="2093"/>
      <c r="C198" s="2093"/>
      <c r="D198" s="2094"/>
      <c r="E198" s="1073">
        <v>1000</v>
      </c>
      <c r="F198" s="874">
        <f>SUMIF($F$9:$F$176,"1000",$E$9:$E$176)</f>
        <v>0</v>
      </c>
      <c r="G198" s="863"/>
      <c r="H198" s="1034"/>
      <c r="I198" s="856"/>
      <c r="J198" s="856"/>
      <c r="O198" s="891"/>
      <c r="U198" s="2118" t="s">
        <v>1219</v>
      </c>
      <c r="V198" s="2120" t="s">
        <v>1220</v>
      </c>
      <c r="W198" s="2120" t="s">
        <v>1221</v>
      </c>
      <c r="X198" s="2120" t="s">
        <v>1222</v>
      </c>
      <c r="Y198" s="2122" t="s">
        <v>1152</v>
      </c>
      <c r="Z198" s="875"/>
      <c r="AA198" s="1539"/>
      <c r="AB198" s="1539"/>
      <c r="AC198" s="1539"/>
      <c r="AD198" s="891"/>
      <c r="AE198" s="891"/>
    </row>
    <row r="199" spans="1:31" s="884" customFormat="1" ht="56.25" customHeight="1">
      <c r="A199" s="2092"/>
      <c r="B199" s="2093"/>
      <c r="C199" s="2093"/>
      <c r="D199" s="2094"/>
      <c r="E199" s="1073">
        <v>1200</v>
      </c>
      <c r="F199" s="874">
        <f>SUMIF($F$9:$F$176,"1200",$E$9:$E$176)</f>
        <v>0</v>
      </c>
      <c r="G199" s="863"/>
      <c r="H199" s="1034"/>
      <c r="I199" s="856"/>
      <c r="J199" s="856"/>
      <c r="K199" s="1074"/>
      <c r="L199" s="1074"/>
      <c r="M199" s="1074"/>
      <c r="N199" s="1074"/>
      <c r="O199" s="1074"/>
      <c r="P199" s="1074"/>
      <c r="U199" s="2119"/>
      <c r="V199" s="2121"/>
      <c r="W199" s="2121"/>
      <c r="X199" s="2121"/>
      <c r="Y199" s="2123"/>
      <c r="Z199" s="875"/>
      <c r="AA199" s="1539"/>
      <c r="AB199" s="1539"/>
      <c r="AC199" s="1539"/>
      <c r="AD199" s="891"/>
      <c r="AE199" s="891"/>
    </row>
    <row r="200" spans="1:31" s="884" customFormat="1" ht="26.65" customHeight="1" thickBot="1">
      <c r="A200" s="2095"/>
      <c r="B200" s="2096"/>
      <c r="C200" s="2096"/>
      <c r="D200" s="2097"/>
      <c r="E200" s="1075">
        <v>1500</v>
      </c>
      <c r="F200" s="876">
        <f>SUMIF($F$9:$F$176,"1500",$E$9:$E$176)</f>
        <v>0</v>
      </c>
      <c r="G200" s="2124"/>
      <c r="H200" s="2125"/>
      <c r="I200" s="856"/>
      <c r="J200" s="856"/>
      <c r="U200" s="877">
        <v>2</v>
      </c>
      <c r="V200" s="878">
        <f>(14*21)</f>
        <v>294</v>
      </c>
      <c r="W200" s="879">
        <v>8</v>
      </c>
      <c r="X200" s="879">
        <v>2</v>
      </c>
      <c r="Y200" s="880">
        <f>ROUND(U200*V200*W200*X200,2)</f>
        <v>9408</v>
      </c>
      <c r="Z200" s="875"/>
      <c r="AA200" s="1539"/>
      <c r="AB200" s="1539"/>
      <c r="AC200" s="1539"/>
      <c r="AD200" s="891"/>
      <c r="AE200" s="891"/>
    </row>
    <row r="201" spans="1:31" s="884" customFormat="1" ht="26.65" customHeight="1" thickBot="1">
      <c r="U201" s="881" t="s">
        <v>22</v>
      </c>
      <c r="V201" s="882"/>
      <c r="W201" s="882"/>
      <c r="X201" s="882"/>
      <c r="Y201" s="883">
        <f>SUM(Y200:Y200)</f>
        <v>9408</v>
      </c>
      <c r="Z201" s="875"/>
      <c r="AA201" s="1539"/>
      <c r="AB201" s="1539"/>
      <c r="AC201" s="1539"/>
      <c r="AD201" s="891"/>
      <c r="AE201" s="891"/>
    </row>
    <row r="202" spans="1:31" s="884" customFormat="1" ht="26.65" customHeight="1" thickBot="1">
      <c r="Z202" s="867"/>
      <c r="AA202" s="1539"/>
      <c r="AB202" s="1539"/>
      <c r="AC202" s="1539"/>
      <c r="AD202" s="891"/>
    </row>
    <row r="203" spans="1:31" s="884" customFormat="1" ht="40.9" customHeight="1" thickBot="1">
      <c r="A203" s="2147" t="s">
        <v>1137</v>
      </c>
      <c r="B203" s="2148"/>
      <c r="C203" s="2148"/>
      <c r="D203" s="2148"/>
      <c r="E203" s="2148"/>
      <c r="F203" s="2148"/>
      <c r="G203" s="2148"/>
      <c r="H203" s="2148"/>
      <c r="I203" s="2148"/>
      <c r="J203" s="2148"/>
      <c r="K203" s="2148"/>
      <c r="L203" s="2148"/>
      <c r="M203" s="2148"/>
      <c r="N203" s="2148"/>
      <c r="O203" s="2148"/>
      <c r="P203" s="2148"/>
      <c r="Q203" s="2148"/>
      <c r="R203" s="2149"/>
      <c r="Z203" s="867"/>
      <c r="AA203" s="867"/>
      <c r="AB203" s="867"/>
      <c r="AC203" s="867"/>
      <c r="AD203" s="891"/>
    </row>
    <row r="204" spans="1:31" s="884" customFormat="1" ht="26.65" customHeight="1" thickBot="1">
      <c r="A204" s="2150"/>
      <c r="B204" s="2151"/>
      <c r="C204" s="2151"/>
      <c r="D204" s="2151"/>
      <c r="E204" s="2151"/>
      <c r="F204" s="2151"/>
      <c r="G204" s="2151"/>
      <c r="H204" s="2151"/>
      <c r="I204" s="2151"/>
      <c r="J204" s="2151"/>
      <c r="K204" s="2151"/>
      <c r="L204" s="2151"/>
      <c r="M204" s="2151"/>
      <c r="N204" s="2151"/>
      <c r="O204" s="2151"/>
      <c r="P204" s="2151"/>
      <c r="Q204" s="2151"/>
      <c r="R204" s="2152"/>
      <c r="T204" s="2074" t="s">
        <v>1138</v>
      </c>
      <c r="U204" s="2153"/>
      <c r="V204" s="2074" t="s">
        <v>1223</v>
      </c>
      <c r="W204" s="2075"/>
      <c r="X204" s="2153"/>
      <c r="Y204" s="2083" t="s">
        <v>1224</v>
      </c>
      <c r="Z204" s="2136" t="s">
        <v>771</v>
      </c>
      <c r="AA204" s="2136" t="s">
        <v>771</v>
      </c>
      <c r="AB204" s="2136" t="s">
        <v>771</v>
      </c>
      <c r="AC204" s="2136" t="s">
        <v>771</v>
      </c>
      <c r="AD204" s="891"/>
      <c r="AE204" s="891"/>
    </row>
    <row r="205" spans="1:31" s="884" customFormat="1" ht="26.65" customHeight="1" thickBot="1">
      <c r="A205" s="1049"/>
      <c r="B205" s="1049"/>
      <c r="C205" s="1049"/>
      <c r="D205" s="1049"/>
      <c r="E205" s="1049"/>
      <c r="F205" s="1049"/>
      <c r="G205" s="1049"/>
      <c r="H205" s="1076"/>
      <c r="I205" s="1076"/>
      <c r="J205" s="1076"/>
      <c r="K205" s="1077"/>
      <c r="L205" s="1049"/>
      <c r="M205" s="1049"/>
      <c r="N205" s="1049"/>
      <c r="O205" s="1049"/>
      <c r="P205" s="1049"/>
      <c r="Q205" s="1049"/>
      <c r="R205" s="1049"/>
      <c r="T205" s="2080"/>
      <c r="U205" s="2154"/>
      <c r="V205" s="2080"/>
      <c r="W205" s="2081"/>
      <c r="X205" s="2154"/>
      <c r="Y205" s="2085"/>
      <c r="Z205" s="2137"/>
      <c r="AA205" s="2137"/>
      <c r="AB205" s="2137"/>
      <c r="AC205" s="2137"/>
      <c r="AD205" s="891"/>
      <c r="AE205" s="891"/>
    </row>
    <row r="206" spans="1:31" s="884" customFormat="1" ht="26.65" customHeight="1">
      <c r="A206" s="2074" t="s">
        <v>1138</v>
      </c>
      <c r="B206" s="2076"/>
      <c r="C206" s="2138" t="s">
        <v>1223</v>
      </c>
      <c r="D206" s="2140" t="s">
        <v>1203</v>
      </c>
      <c r="E206" s="2087"/>
      <c r="F206" s="2141"/>
      <c r="G206" s="1040"/>
      <c r="H206" s="1078"/>
      <c r="I206" s="1078"/>
      <c r="J206" s="1078"/>
      <c r="K206" s="1058"/>
      <c r="L206" s="2074" t="s">
        <v>1138</v>
      </c>
      <c r="M206" s="2076"/>
      <c r="N206" s="2138" t="s">
        <v>1223</v>
      </c>
      <c r="O206" s="2140" t="s">
        <v>1203</v>
      </c>
      <c r="P206" s="2087"/>
      <c r="Q206" s="2141"/>
      <c r="T206" s="2142" t="s">
        <v>1225</v>
      </c>
      <c r="U206" s="2143"/>
      <c r="V206" s="2144" t="s">
        <v>1226</v>
      </c>
      <c r="W206" s="2145"/>
      <c r="X206" s="2146"/>
      <c r="Y206" s="1079">
        <v>600</v>
      </c>
      <c r="Z206" s="1080">
        <v>2</v>
      </c>
      <c r="AA206" s="1080">
        <v>2</v>
      </c>
      <c r="AB206" s="1080">
        <v>2</v>
      </c>
      <c r="AC206" s="1080">
        <v>2</v>
      </c>
      <c r="AD206" s="891"/>
      <c r="AE206" s="891"/>
    </row>
    <row r="207" spans="1:31" s="884" customFormat="1" ht="26.65" customHeight="1" thickBot="1">
      <c r="A207" s="2080"/>
      <c r="B207" s="2082"/>
      <c r="C207" s="2139"/>
      <c r="D207" s="1081" t="s">
        <v>771</v>
      </c>
      <c r="E207" s="1081" t="s">
        <v>1139</v>
      </c>
      <c r="F207" s="1082" t="s">
        <v>22</v>
      </c>
      <c r="G207" s="1040"/>
      <c r="H207" s="1076"/>
      <c r="I207" s="1076"/>
      <c r="J207" s="1076"/>
      <c r="K207" s="893"/>
      <c r="L207" s="2080"/>
      <c r="M207" s="2082"/>
      <c r="N207" s="2139"/>
      <c r="O207" s="1081" t="s">
        <v>771</v>
      </c>
      <c r="P207" s="1081" t="s">
        <v>1139</v>
      </c>
      <c r="Q207" s="1082" t="s">
        <v>22</v>
      </c>
      <c r="T207" s="2126" t="s">
        <v>1227</v>
      </c>
      <c r="U207" s="2127"/>
      <c r="V207" s="2128" t="s">
        <v>1228</v>
      </c>
      <c r="W207" s="2129"/>
      <c r="X207" s="2130"/>
      <c r="Y207" s="1083">
        <v>600</v>
      </c>
      <c r="Z207" s="1084"/>
      <c r="AA207" s="1084"/>
      <c r="AB207" s="1084"/>
      <c r="AC207" s="1084"/>
      <c r="AD207" s="891"/>
      <c r="AE207" s="891"/>
    </row>
    <row r="208" spans="1:31" s="884" customFormat="1" ht="26.65" customHeight="1">
      <c r="A208" s="885" t="s">
        <v>1229</v>
      </c>
      <c r="B208" s="886"/>
      <c r="C208" s="887">
        <v>54</v>
      </c>
      <c r="D208" s="888"/>
      <c r="E208" s="888">
        <v>6</v>
      </c>
      <c r="F208" s="889">
        <f t="shared" ref="F208:F263" si="90">D208*E208</f>
        <v>0</v>
      </c>
      <c r="G208" s="1085"/>
      <c r="H208" s="1086"/>
      <c r="I208" s="1086"/>
      <c r="J208" s="1086"/>
      <c r="K208" s="893"/>
      <c r="L208" s="1087" t="s">
        <v>1230</v>
      </c>
      <c r="M208" s="1088"/>
      <c r="N208" s="1089" t="s">
        <v>1231</v>
      </c>
      <c r="O208" s="1090">
        <v>2</v>
      </c>
      <c r="P208" s="1090">
        <v>6</v>
      </c>
      <c r="Q208" s="1091">
        <f t="shared" ref="Q208:Q269" si="91">O208*P208</f>
        <v>12</v>
      </c>
      <c r="T208" s="2131" t="s">
        <v>1232</v>
      </c>
      <c r="U208" s="2132"/>
      <c r="V208" s="2133" t="s">
        <v>1233</v>
      </c>
      <c r="W208" s="2134"/>
      <c r="X208" s="2135"/>
      <c r="Y208" s="1097">
        <v>600</v>
      </c>
      <c r="Z208" s="1098">
        <v>2</v>
      </c>
      <c r="AA208" s="1098">
        <v>2</v>
      </c>
      <c r="AB208" s="1098">
        <v>2</v>
      </c>
      <c r="AC208" s="1098">
        <v>2</v>
      </c>
      <c r="AD208" s="891"/>
      <c r="AE208" s="891"/>
    </row>
    <row r="209" spans="1:31" s="884" customFormat="1" ht="26.65" customHeight="1">
      <c r="A209" s="1099" t="s">
        <v>1229</v>
      </c>
      <c r="B209" s="1100"/>
      <c r="C209" s="1101">
        <v>53</v>
      </c>
      <c r="D209" s="1102">
        <v>4</v>
      </c>
      <c r="E209" s="1102">
        <v>6</v>
      </c>
      <c r="F209" s="1103">
        <f t="shared" si="90"/>
        <v>24</v>
      </c>
      <c r="G209" s="1086"/>
      <c r="H209" s="1086"/>
      <c r="I209" s="1086"/>
      <c r="J209" s="1086"/>
      <c r="K209" s="893"/>
      <c r="L209" s="1104" t="s">
        <v>1230</v>
      </c>
      <c r="M209" s="1105"/>
      <c r="N209" s="1101" t="s">
        <v>1234</v>
      </c>
      <c r="O209" s="1106">
        <v>2</v>
      </c>
      <c r="P209" s="1106">
        <v>6</v>
      </c>
      <c r="Q209" s="1107">
        <f t="shared" si="91"/>
        <v>12</v>
      </c>
      <c r="T209" s="2131" t="s">
        <v>1235</v>
      </c>
      <c r="U209" s="2132"/>
      <c r="V209" s="2133" t="s">
        <v>1236</v>
      </c>
      <c r="W209" s="2134"/>
      <c r="X209" s="2135"/>
      <c r="Y209" s="1097">
        <v>600</v>
      </c>
      <c r="Z209" s="1098">
        <v>2</v>
      </c>
      <c r="AA209" s="1098">
        <v>2</v>
      </c>
      <c r="AB209" s="1098">
        <v>2</v>
      </c>
      <c r="AC209" s="1098">
        <v>2</v>
      </c>
      <c r="AD209" s="891"/>
      <c r="AE209" s="891"/>
    </row>
    <row r="210" spans="1:31" s="884" customFormat="1" ht="26.65" customHeight="1">
      <c r="A210" s="1099" t="s">
        <v>1229</v>
      </c>
      <c r="B210" s="1100"/>
      <c r="C210" s="1101">
        <v>44</v>
      </c>
      <c r="D210" s="1102">
        <v>2</v>
      </c>
      <c r="E210" s="1102">
        <v>6</v>
      </c>
      <c r="F210" s="1103">
        <f t="shared" si="90"/>
        <v>12</v>
      </c>
      <c r="G210" s="1086"/>
      <c r="H210" s="1086"/>
      <c r="I210" s="1086"/>
      <c r="J210" s="1086"/>
      <c r="K210" s="893"/>
      <c r="L210" s="1104" t="s">
        <v>1230</v>
      </c>
      <c r="M210" s="1105"/>
      <c r="N210" s="1101" t="s">
        <v>1237</v>
      </c>
      <c r="O210" s="1106">
        <v>2</v>
      </c>
      <c r="P210" s="1106">
        <v>6</v>
      </c>
      <c r="Q210" s="1107">
        <f t="shared" si="91"/>
        <v>12</v>
      </c>
      <c r="T210" s="2131" t="s">
        <v>1235</v>
      </c>
      <c r="U210" s="2132"/>
      <c r="V210" s="2133" t="s">
        <v>1238</v>
      </c>
      <c r="W210" s="2134"/>
      <c r="X210" s="2135"/>
      <c r="Y210" s="1097">
        <v>800</v>
      </c>
      <c r="Z210" s="1098">
        <v>1</v>
      </c>
      <c r="AA210" s="1098">
        <v>1</v>
      </c>
      <c r="AB210" s="1098">
        <v>1</v>
      </c>
      <c r="AC210" s="1098">
        <v>1</v>
      </c>
      <c r="AD210" s="891"/>
      <c r="AE210" s="891"/>
    </row>
    <row r="211" spans="1:31" s="884" customFormat="1" ht="26.65" customHeight="1">
      <c r="A211" s="885" t="s">
        <v>1235</v>
      </c>
      <c r="B211" s="886"/>
      <c r="C211" s="887" t="s">
        <v>1239</v>
      </c>
      <c r="D211" s="888"/>
      <c r="E211" s="888">
        <v>6</v>
      </c>
      <c r="F211" s="889">
        <f t="shared" si="90"/>
        <v>0</v>
      </c>
      <c r="G211" s="1085"/>
      <c r="H211" s="1086"/>
      <c r="I211" s="1086"/>
      <c r="J211" s="1086"/>
      <c r="K211" s="893"/>
      <c r="L211" s="1104" t="s">
        <v>1230</v>
      </c>
      <c r="M211" s="1105"/>
      <c r="N211" s="1101" t="s">
        <v>1240</v>
      </c>
      <c r="O211" s="1106">
        <v>2</v>
      </c>
      <c r="P211" s="1106">
        <v>6</v>
      </c>
      <c r="Q211" s="1107">
        <f t="shared" si="91"/>
        <v>12</v>
      </c>
      <c r="T211" s="2155"/>
      <c r="U211" s="2156"/>
      <c r="V211" s="2157"/>
      <c r="W211" s="2158"/>
      <c r="X211" s="2159"/>
      <c r="Y211" s="1108"/>
      <c r="Z211" s="1109"/>
      <c r="AA211" s="1109"/>
      <c r="AB211" s="1109"/>
      <c r="AC211" s="1109"/>
      <c r="AD211" s="891"/>
      <c r="AE211" s="891"/>
    </row>
    <row r="212" spans="1:31" s="884" customFormat="1" ht="26.65" customHeight="1">
      <c r="A212" s="885" t="s">
        <v>1235</v>
      </c>
      <c r="B212" s="886"/>
      <c r="C212" s="887" t="s">
        <v>1241</v>
      </c>
      <c r="D212" s="888"/>
      <c r="E212" s="888">
        <v>6</v>
      </c>
      <c r="F212" s="889">
        <f t="shared" si="90"/>
        <v>0</v>
      </c>
      <c r="G212" s="1085"/>
      <c r="H212" s="1086"/>
      <c r="I212" s="1086"/>
      <c r="J212" s="1086"/>
      <c r="K212" s="893"/>
      <c r="L212" s="1104"/>
      <c r="M212" s="1105"/>
      <c r="N212" s="1101"/>
      <c r="O212" s="1106"/>
      <c r="P212" s="1106"/>
      <c r="Q212" s="1107"/>
      <c r="T212" s="2155"/>
      <c r="U212" s="2156"/>
      <c r="V212" s="2157"/>
      <c r="W212" s="2158"/>
      <c r="X212" s="2159"/>
      <c r="Y212" s="1108"/>
      <c r="Z212" s="1109"/>
      <c r="AA212" s="1109"/>
      <c r="AB212" s="1109"/>
      <c r="AC212" s="1109"/>
      <c r="AD212" s="891"/>
      <c r="AE212" s="891"/>
    </row>
    <row r="213" spans="1:31" s="884" customFormat="1" ht="26.65" customHeight="1">
      <c r="A213" s="885" t="s">
        <v>1235</v>
      </c>
      <c r="B213" s="886"/>
      <c r="C213" s="887" t="s">
        <v>1238</v>
      </c>
      <c r="D213" s="888"/>
      <c r="E213" s="888">
        <v>6</v>
      </c>
      <c r="F213" s="889">
        <f t="shared" si="90"/>
        <v>0</v>
      </c>
      <c r="G213" s="1085"/>
      <c r="H213" s="1110"/>
      <c r="I213" s="1110"/>
      <c r="J213" s="1110"/>
      <c r="K213" s="893"/>
      <c r="L213" s="1104" t="s">
        <v>1230</v>
      </c>
      <c r="M213" s="1105"/>
      <c r="N213" s="1101" t="s">
        <v>1242</v>
      </c>
      <c r="O213" s="1106">
        <v>2</v>
      </c>
      <c r="P213" s="1106">
        <v>6</v>
      </c>
      <c r="Q213" s="1107">
        <f t="shared" si="91"/>
        <v>12</v>
      </c>
      <c r="T213" s="2155"/>
      <c r="U213" s="2156"/>
      <c r="V213" s="2157"/>
      <c r="W213" s="2158"/>
      <c r="X213" s="2159"/>
      <c r="Y213" s="1108"/>
      <c r="Z213" s="1109"/>
      <c r="AA213" s="1109"/>
      <c r="AB213" s="1109"/>
      <c r="AC213" s="1109"/>
      <c r="AD213" s="891"/>
      <c r="AE213" s="891"/>
    </row>
    <row r="214" spans="1:31" s="884" customFormat="1" ht="26.65" customHeight="1">
      <c r="A214" s="885" t="s">
        <v>1243</v>
      </c>
      <c r="B214" s="886"/>
      <c r="C214" s="887" t="s">
        <v>1244</v>
      </c>
      <c r="D214" s="888"/>
      <c r="E214" s="888">
        <v>6</v>
      </c>
      <c r="F214" s="889">
        <f t="shared" si="90"/>
        <v>0</v>
      </c>
      <c r="G214" s="1085"/>
      <c r="H214" s="1110"/>
      <c r="I214" s="1110"/>
      <c r="J214" s="1110"/>
      <c r="K214" s="893"/>
      <c r="L214" s="1104" t="s">
        <v>1245</v>
      </c>
      <c r="M214" s="1105"/>
      <c r="N214" s="1101" t="s">
        <v>1246</v>
      </c>
      <c r="O214" s="1106">
        <v>4</v>
      </c>
      <c r="P214" s="1106">
        <v>6</v>
      </c>
      <c r="Q214" s="1107">
        <f t="shared" si="91"/>
        <v>24</v>
      </c>
      <c r="T214" s="2131" t="s">
        <v>1247</v>
      </c>
      <c r="U214" s="2132"/>
      <c r="V214" s="2133" t="s">
        <v>1248</v>
      </c>
      <c r="W214" s="2134"/>
      <c r="X214" s="2135"/>
      <c r="Y214" s="1097">
        <v>800</v>
      </c>
      <c r="Z214" s="1098">
        <v>1</v>
      </c>
      <c r="AA214" s="1098">
        <v>1</v>
      </c>
      <c r="AB214" s="1098">
        <v>1</v>
      </c>
      <c r="AC214" s="1098">
        <v>1</v>
      </c>
      <c r="AD214" s="891"/>
      <c r="AE214" s="891"/>
    </row>
    <row r="215" spans="1:31" s="884" customFormat="1" ht="26.65" customHeight="1">
      <c r="A215" s="885" t="s">
        <v>1249</v>
      </c>
      <c r="B215" s="886"/>
      <c r="C215" s="887" t="s">
        <v>1250</v>
      </c>
      <c r="D215" s="888"/>
      <c r="E215" s="888">
        <v>6</v>
      </c>
      <c r="F215" s="889">
        <f t="shared" si="90"/>
        <v>0</v>
      </c>
      <c r="G215" s="1085"/>
      <c r="H215" s="1110"/>
      <c r="I215" s="1110"/>
      <c r="J215" s="1110"/>
      <c r="K215" s="893"/>
      <c r="L215" s="1099" t="s">
        <v>1245</v>
      </c>
      <c r="M215" s="1100"/>
      <c r="N215" s="1101" t="s">
        <v>1251</v>
      </c>
      <c r="O215" s="1102">
        <v>2</v>
      </c>
      <c r="P215" s="1102">
        <v>6</v>
      </c>
      <c r="Q215" s="1103">
        <f t="shared" si="91"/>
        <v>12</v>
      </c>
      <c r="T215" s="2131" t="s">
        <v>1247</v>
      </c>
      <c r="U215" s="2132"/>
      <c r="V215" s="2133" t="s">
        <v>1252</v>
      </c>
      <c r="W215" s="2134"/>
      <c r="X215" s="2135"/>
      <c r="Y215" s="1097">
        <v>600</v>
      </c>
      <c r="Z215" s="1098">
        <v>4</v>
      </c>
      <c r="AA215" s="1098">
        <v>4</v>
      </c>
      <c r="AB215" s="1098">
        <v>4</v>
      </c>
      <c r="AC215" s="1098">
        <v>4</v>
      </c>
      <c r="AD215" s="891"/>
      <c r="AE215" s="891"/>
    </row>
    <row r="216" spans="1:31" s="884" customFormat="1" ht="26.65" customHeight="1">
      <c r="A216" s="1099" t="s">
        <v>1247</v>
      </c>
      <c r="B216" s="1100"/>
      <c r="C216" s="1101" t="s">
        <v>1253</v>
      </c>
      <c r="D216" s="1102">
        <v>2</v>
      </c>
      <c r="E216" s="1102">
        <v>6</v>
      </c>
      <c r="F216" s="1103">
        <f t="shared" si="90"/>
        <v>12</v>
      </c>
      <c r="G216" s="1086"/>
      <c r="H216" s="1086"/>
      <c r="I216" s="1086"/>
      <c r="J216" s="1086"/>
      <c r="K216" s="893"/>
      <c r="L216" s="1099" t="s">
        <v>1245</v>
      </c>
      <c r="M216" s="1100"/>
      <c r="N216" s="1101" t="s">
        <v>1254</v>
      </c>
      <c r="O216" s="1102">
        <v>2</v>
      </c>
      <c r="P216" s="1102">
        <v>6</v>
      </c>
      <c r="Q216" s="1103">
        <f t="shared" si="91"/>
        <v>12</v>
      </c>
      <c r="T216" s="2126" t="s">
        <v>1255</v>
      </c>
      <c r="U216" s="2127"/>
      <c r="V216" s="2160" t="s">
        <v>1256</v>
      </c>
      <c r="W216" s="2161"/>
      <c r="X216" s="2162"/>
      <c r="Y216" s="1111">
        <v>600</v>
      </c>
      <c r="Z216" s="1112"/>
      <c r="AA216" s="1112"/>
      <c r="AB216" s="1112"/>
      <c r="AC216" s="1112"/>
      <c r="AD216" s="891"/>
      <c r="AE216" s="891"/>
    </row>
    <row r="217" spans="1:31" s="884" customFormat="1" ht="45" customHeight="1">
      <c r="A217" s="1099" t="s">
        <v>1247</v>
      </c>
      <c r="B217" s="1100"/>
      <c r="C217" s="1101" t="s">
        <v>1257</v>
      </c>
      <c r="D217" s="1102">
        <v>4</v>
      </c>
      <c r="E217" s="1102">
        <v>6</v>
      </c>
      <c r="F217" s="1103">
        <f t="shared" si="90"/>
        <v>24</v>
      </c>
      <c r="G217" s="1086"/>
      <c r="H217" s="1086"/>
      <c r="I217" s="1086"/>
      <c r="J217" s="1086"/>
      <c r="K217" s="893"/>
      <c r="L217" s="1099" t="s">
        <v>1245</v>
      </c>
      <c r="M217" s="1100"/>
      <c r="N217" s="1101" t="s">
        <v>1258</v>
      </c>
      <c r="O217" s="1102">
        <v>0</v>
      </c>
      <c r="P217" s="1102">
        <v>6</v>
      </c>
      <c r="Q217" s="1103">
        <f t="shared" si="91"/>
        <v>0</v>
      </c>
      <c r="T217" s="2131" t="s">
        <v>1259</v>
      </c>
      <c r="U217" s="2132"/>
      <c r="V217" s="2133" t="s">
        <v>1260</v>
      </c>
      <c r="W217" s="2134"/>
      <c r="X217" s="2135"/>
      <c r="Y217" s="1097">
        <v>600</v>
      </c>
      <c r="Z217" s="1098">
        <v>1</v>
      </c>
      <c r="AA217" s="1098">
        <v>1</v>
      </c>
      <c r="AB217" s="1098">
        <v>1</v>
      </c>
      <c r="AC217" s="1098">
        <v>1</v>
      </c>
      <c r="AD217" s="891"/>
      <c r="AE217" s="891"/>
    </row>
    <row r="218" spans="1:31" s="884" customFormat="1" ht="26.65" customHeight="1">
      <c r="A218" s="1113" t="s">
        <v>1247</v>
      </c>
      <c r="B218" s="1114"/>
      <c r="C218" s="1115" t="s">
        <v>1261</v>
      </c>
      <c r="D218" s="1116">
        <v>2</v>
      </c>
      <c r="E218" s="1116">
        <v>6</v>
      </c>
      <c r="F218" s="1117">
        <f t="shared" si="90"/>
        <v>12</v>
      </c>
      <c r="G218" s="1118"/>
      <c r="H218" s="1086"/>
      <c r="I218" s="1086"/>
      <c r="J218" s="1086"/>
      <c r="K218" s="893"/>
      <c r="L218" s="1099" t="s">
        <v>1262</v>
      </c>
      <c r="M218" s="1100"/>
      <c r="N218" s="1101" t="s">
        <v>1263</v>
      </c>
      <c r="O218" s="1102">
        <v>6</v>
      </c>
      <c r="P218" s="1102">
        <v>6</v>
      </c>
      <c r="Q218" s="1103">
        <f t="shared" si="91"/>
        <v>36</v>
      </c>
      <c r="T218" s="2131" t="s">
        <v>1264</v>
      </c>
      <c r="U218" s="2132"/>
      <c r="V218" s="2133">
        <v>0</v>
      </c>
      <c r="W218" s="2134"/>
      <c r="X218" s="2135"/>
      <c r="Y218" s="1097">
        <v>600</v>
      </c>
      <c r="Z218" s="1098">
        <v>0</v>
      </c>
      <c r="AA218" s="1098">
        <v>0</v>
      </c>
      <c r="AB218" s="1098">
        <v>0</v>
      </c>
      <c r="AC218" s="1098">
        <v>0</v>
      </c>
      <c r="AD218" s="891"/>
      <c r="AE218" s="891"/>
    </row>
    <row r="219" spans="1:31" s="884" customFormat="1" ht="26.65" customHeight="1">
      <c r="A219" s="1099" t="s">
        <v>1247</v>
      </c>
      <c r="B219" s="1100"/>
      <c r="C219" s="1101" t="s">
        <v>1265</v>
      </c>
      <c r="D219" s="1102">
        <v>2</v>
      </c>
      <c r="E219" s="1102">
        <v>6</v>
      </c>
      <c r="F219" s="1103">
        <f t="shared" si="90"/>
        <v>12</v>
      </c>
      <c r="G219" s="1086"/>
      <c r="H219" s="1086"/>
      <c r="I219" s="1086"/>
      <c r="J219" s="1086"/>
      <c r="K219" s="893"/>
      <c r="L219" s="1099" t="s">
        <v>1262</v>
      </c>
      <c r="M219" s="1100"/>
      <c r="N219" s="1101" t="s">
        <v>1266</v>
      </c>
      <c r="O219" s="1102">
        <v>4</v>
      </c>
      <c r="P219" s="1102">
        <v>6</v>
      </c>
      <c r="Q219" s="1103">
        <f t="shared" si="91"/>
        <v>24</v>
      </c>
      <c r="T219" s="2131" t="s">
        <v>1264</v>
      </c>
      <c r="U219" s="2132"/>
      <c r="V219" s="2133">
        <v>0</v>
      </c>
      <c r="W219" s="2134"/>
      <c r="X219" s="2135"/>
      <c r="Y219" s="1097">
        <v>800</v>
      </c>
      <c r="Z219" s="1098">
        <v>0</v>
      </c>
      <c r="AA219" s="1098">
        <v>0</v>
      </c>
      <c r="AB219" s="1098">
        <v>0</v>
      </c>
      <c r="AC219" s="1098">
        <v>0</v>
      </c>
      <c r="AD219" s="891"/>
      <c r="AE219" s="891"/>
    </row>
    <row r="220" spans="1:31" s="884" customFormat="1" ht="26.65" customHeight="1">
      <c r="A220" s="1099" t="s">
        <v>1247</v>
      </c>
      <c r="B220" s="1100"/>
      <c r="C220" s="1101" t="s">
        <v>1267</v>
      </c>
      <c r="D220" s="1102">
        <v>0</v>
      </c>
      <c r="E220" s="1102">
        <v>6</v>
      </c>
      <c r="F220" s="1103">
        <f t="shared" si="90"/>
        <v>0</v>
      </c>
      <c r="G220" s="1086"/>
      <c r="H220" s="1086"/>
      <c r="I220" s="1086"/>
      <c r="J220" s="1086"/>
      <c r="K220" s="893"/>
      <c r="L220" s="1099" t="s">
        <v>1262</v>
      </c>
      <c r="M220" s="1100"/>
      <c r="N220" s="1101" t="s">
        <v>1268</v>
      </c>
      <c r="O220" s="1102">
        <v>5</v>
      </c>
      <c r="P220" s="1102">
        <v>6</v>
      </c>
      <c r="Q220" s="1103">
        <f t="shared" si="91"/>
        <v>30</v>
      </c>
      <c r="T220" s="2131" t="s">
        <v>1264</v>
      </c>
      <c r="U220" s="2132"/>
      <c r="V220" s="2133">
        <v>0</v>
      </c>
      <c r="W220" s="2134"/>
      <c r="X220" s="2135"/>
      <c r="Y220" s="1097">
        <v>1200</v>
      </c>
      <c r="Z220" s="1098">
        <v>0</v>
      </c>
      <c r="AA220" s="1098">
        <v>0</v>
      </c>
      <c r="AB220" s="1098">
        <v>0</v>
      </c>
      <c r="AC220" s="1098">
        <v>0</v>
      </c>
      <c r="AD220" s="891"/>
      <c r="AE220" s="891"/>
    </row>
    <row r="221" spans="1:31" s="884" customFormat="1" ht="26.65" customHeight="1">
      <c r="A221" s="1099" t="s">
        <v>1247</v>
      </c>
      <c r="B221" s="1100"/>
      <c r="C221" s="1101" t="s">
        <v>1248</v>
      </c>
      <c r="D221" s="1102">
        <v>4</v>
      </c>
      <c r="E221" s="1102">
        <v>6</v>
      </c>
      <c r="F221" s="1103">
        <f t="shared" si="90"/>
        <v>24</v>
      </c>
      <c r="G221" s="1086"/>
      <c r="H221" s="1086"/>
      <c r="I221" s="1086"/>
      <c r="J221" s="1086"/>
      <c r="K221" s="893"/>
      <c r="L221" s="1099" t="s">
        <v>1262</v>
      </c>
      <c r="M221" s="1100"/>
      <c r="N221" s="1101" t="s">
        <v>1269</v>
      </c>
      <c r="O221" s="1102">
        <v>2</v>
      </c>
      <c r="P221" s="1102">
        <v>6</v>
      </c>
      <c r="Q221" s="1103">
        <f t="shared" si="91"/>
        <v>12</v>
      </c>
      <c r="T221" s="2131" t="s">
        <v>1270</v>
      </c>
      <c r="U221" s="2132"/>
      <c r="V221" s="2133" t="s">
        <v>1271</v>
      </c>
      <c r="W221" s="2134"/>
      <c r="X221" s="2135"/>
      <c r="Y221" s="1097">
        <v>600</v>
      </c>
      <c r="Z221" s="1098">
        <v>3</v>
      </c>
      <c r="AA221" s="1098">
        <v>3</v>
      </c>
      <c r="AB221" s="1098">
        <v>3</v>
      </c>
      <c r="AC221" s="1098">
        <v>3</v>
      </c>
      <c r="AD221" s="891"/>
      <c r="AE221" s="891"/>
    </row>
    <row r="222" spans="1:31" s="884" customFormat="1" ht="26.65" customHeight="1">
      <c r="A222" s="885" t="s">
        <v>1272</v>
      </c>
      <c r="B222" s="886"/>
      <c r="C222" s="887" t="s">
        <v>1273</v>
      </c>
      <c r="D222" s="888"/>
      <c r="E222" s="888">
        <v>6</v>
      </c>
      <c r="F222" s="889">
        <f t="shared" si="90"/>
        <v>0</v>
      </c>
      <c r="G222" s="1085"/>
      <c r="H222" s="1086"/>
      <c r="I222" s="1086"/>
      <c r="J222" s="1086"/>
      <c r="K222" s="893"/>
      <c r="L222" s="1099" t="s">
        <v>1262</v>
      </c>
      <c r="M222" s="1100"/>
      <c r="N222" s="1101" t="s">
        <v>1274</v>
      </c>
      <c r="O222" s="1102">
        <v>2</v>
      </c>
      <c r="P222" s="1102">
        <v>6</v>
      </c>
      <c r="Q222" s="1103">
        <f t="shared" si="91"/>
        <v>12</v>
      </c>
      <c r="T222" s="1092"/>
      <c r="U222" s="1093"/>
      <c r="V222" s="1094"/>
      <c r="W222" s="1095"/>
      <c r="X222" s="1096"/>
      <c r="Y222" s="1097"/>
      <c r="Z222" s="1098"/>
      <c r="AA222" s="1098"/>
      <c r="AB222" s="1098"/>
      <c r="AC222" s="1098"/>
      <c r="AD222" s="891"/>
      <c r="AE222" s="891"/>
    </row>
    <row r="223" spans="1:31" s="1120" customFormat="1" ht="26.65" customHeight="1">
      <c r="A223" s="885" t="s">
        <v>1272</v>
      </c>
      <c r="B223" s="886"/>
      <c r="C223" s="887" t="s">
        <v>1275</v>
      </c>
      <c r="D223" s="888"/>
      <c r="E223" s="888">
        <v>6</v>
      </c>
      <c r="F223" s="889">
        <f t="shared" si="90"/>
        <v>0</v>
      </c>
      <c r="G223" s="1085"/>
      <c r="H223" s="1118"/>
      <c r="I223" s="1118"/>
      <c r="J223" s="1118"/>
      <c r="K223" s="1119"/>
      <c r="L223" s="1099" t="s">
        <v>1262</v>
      </c>
      <c r="M223" s="1100"/>
      <c r="N223" s="1101" t="s">
        <v>1276</v>
      </c>
      <c r="O223" s="1102">
        <v>6</v>
      </c>
      <c r="P223" s="1102">
        <v>6</v>
      </c>
      <c r="Q223" s="1103">
        <f t="shared" si="91"/>
        <v>36</v>
      </c>
      <c r="T223" s="2163" t="s">
        <v>1277</v>
      </c>
      <c r="U223" s="2164"/>
      <c r="V223" s="2165">
        <v>145</v>
      </c>
      <c r="W223" s="2166"/>
      <c r="X223" s="2167"/>
      <c r="Y223" s="1121">
        <v>600</v>
      </c>
      <c r="Z223" s="1122">
        <v>1</v>
      </c>
      <c r="AA223" s="1122">
        <v>1</v>
      </c>
      <c r="AB223" s="1122">
        <v>1</v>
      </c>
      <c r="AC223" s="1122">
        <v>1</v>
      </c>
      <c r="AD223" s="1123"/>
      <c r="AE223" s="1123"/>
    </row>
    <row r="224" spans="1:31" s="884" customFormat="1" ht="26.65" customHeight="1">
      <c r="A224" s="885" t="s">
        <v>1278</v>
      </c>
      <c r="B224" s="886"/>
      <c r="C224" s="887" t="s">
        <v>1260</v>
      </c>
      <c r="D224" s="888"/>
      <c r="E224" s="888">
        <v>6</v>
      </c>
      <c r="F224" s="889">
        <f t="shared" si="90"/>
        <v>0</v>
      </c>
      <c r="G224" s="1085"/>
      <c r="H224" s="1086"/>
      <c r="I224" s="1086"/>
      <c r="J224" s="1086"/>
      <c r="K224" s="893"/>
      <c r="L224" s="1099" t="s">
        <v>1262</v>
      </c>
      <c r="M224" s="1100"/>
      <c r="N224" s="1101" t="s">
        <v>1279</v>
      </c>
      <c r="O224" s="1102">
        <v>2</v>
      </c>
      <c r="P224" s="1102">
        <v>6</v>
      </c>
      <c r="Q224" s="1103">
        <f t="shared" si="91"/>
        <v>12</v>
      </c>
      <c r="T224" s="2131" t="s">
        <v>1280</v>
      </c>
      <c r="U224" s="2132"/>
      <c r="V224" s="2133" t="s">
        <v>1281</v>
      </c>
      <c r="W224" s="2134"/>
      <c r="X224" s="2135"/>
      <c r="Y224" s="1097">
        <v>600</v>
      </c>
      <c r="Z224" s="1098">
        <v>1</v>
      </c>
      <c r="AA224" s="1098">
        <v>1</v>
      </c>
      <c r="AB224" s="1098">
        <v>1</v>
      </c>
      <c r="AC224" s="1098">
        <v>1</v>
      </c>
      <c r="AD224" s="891"/>
      <c r="AE224" s="891"/>
    </row>
    <row r="225" spans="1:31" s="884" customFormat="1" ht="26.65" customHeight="1">
      <c r="A225" s="1099" t="s">
        <v>1264</v>
      </c>
      <c r="B225" s="1100"/>
      <c r="C225" s="1101" t="s">
        <v>1282</v>
      </c>
      <c r="D225" s="1102">
        <v>0</v>
      </c>
      <c r="E225" s="1102">
        <v>6</v>
      </c>
      <c r="F225" s="1103">
        <f t="shared" si="90"/>
        <v>0</v>
      </c>
      <c r="G225" s="1086"/>
      <c r="H225" s="1086"/>
      <c r="I225" s="1086"/>
      <c r="J225" s="1086"/>
      <c r="K225" s="1124"/>
      <c r="L225" s="1099" t="s">
        <v>1262</v>
      </c>
      <c r="M225" s="1100"/>
      <c r="N225" s="1101" t="s">
        <v>1283</v>
      </c>
      <c r="O225" s="1102">
        <v>4</v>
      </c>
      <c r="P225" s="1102">
        <v>6</v>
      </c>
      <c r="Q225" s="1103">
        <f t="shared" si="91"/>
        <v>24</v>
      </c>
      <c r="T225" s="2131" t="s">
        <v>1284</v>
      </c>
      <c r="U225" s="2132"/>
      <c r="V225" s="2133">
        <v>34.35</v>
      </c>
      <c r="W225" s="2134"/>
      <c r="X225" s="2135"/>
      <c r="Y225" s="1097">
        <v>600</v>
      </c>
      <c r="Z225" s="1098">
        <v>2</v>
      </c>
      <c r="AA225" s="1098">
        <v>2</v>
      </c>
      <c r="AB225" s="1098">
        <v>2</v>
      </c>
      <c r="AC225" s="1098">
        <v>2</v>
      </c>
      <c r="AD225" s="891"/>
      <c r="AE225" s="891"/>
    </row>
    <row r="226" spans="1:31" s="884" customFormat="1" ht="39.75" customHeight="1">
      <c r="A226" s="1099" t="s">
        <v>1264</v>
      </c>
      <c r="B226" s="1100"/>
      <c r="C226" s="1101" t="s">
        <v>1285</v>
      </c>
      <c r="D226" s="1102">
        <v>2</v>
      </c>
      <c r="E226" s="1102">
        <v>6</v>
      </c>
      <c r="F226" s="1103">
        <f t="shared" si="90"/>
        <v>12</v>
      </c>
      <c r="G226" s="1086"/>
      <c r="H226" s="1086"/>
      <c r="I226" s="1086"/>
      <c r="J226" s="1086"/>
      <c r="K226" s="1124"/>
      <c r="L226" s="1099" t="s">
        <v>1262</v>
      </c>
      <c r="M226" s="1100"/>
      <c r="N226" s="1101" t="s">
        <v>1286</v>
      </c>
      <c r="O226" s="1102">
        <v>3</v>
      </c>
      <c r="P226" s="1102">
        <v>6</v>
      </c>
      <c r="Q226" s="1103">
        <f t="shared" si="91"/>
        <v>18</v>
      </c>
      <c r="T226" s="2131" t="s">
        <v>1287</v>
      </c>
      <c r="U226" s="2132"/>
      <c r="V226" s="2133" t="s">
        <v>1288</v>
      </c>
      <c r="W226" s="2134"/>
      <c r="X226" s="2135"/>
      <c r="Y226" s="1097">
        <v>600</v>
      </c>
      <c r="Z226" s="1098">
        <v>8</v>
      </c>
      <c r="AA226" s="1098">
        <v>8</v>
      </c>
      <c r="AB226" s="1098">
        <v>8</v>
      </c>
      <c r="AC226" s="1098">
        <v>8</v>
      </c>
      <c r="AD226" s="891"/>
      <c r="AE226" s="891"/>
    </row>
    <row r="227" spans="1:31" s="884" customFormat="1" ht="26.65" customHeight="1">
      <c r="A227" s="1099" t="s">
        <v>1264</v>
      </c>
      <c r="B227" s="1100"/>
      <c r="C227" s="1101" t="s">
        <v>1289</v>
      </c>
      <c r="D227" s="1102">
        <v>1</v>
      </c>
      <c r="E227" s="1102">
        <v>6</v>
      </c>
      <c r="F227" s="1103">
        <f t="shared" si="90"/>
        <v>6</v>
      </c>
      <c r="G227" s="1086"/>
      <c r="H227" s="1086"/>
      <c r="I227" s="1086"/>
      <c r="J227" s="1086"/>
      <c r="K227" s="893"/>
      <c r="L227" s="1099" t="s">
        <v>1290</v>
      </c>
      <c r="M227" s="1100"/>
      <c r="N227" s="1101" t="s">
        <v>1291</v>
      </c>
      <c r="O227" s="1102">
        <v>2</v>
      </c>
      <c r="P227" s="1102">
        <v>6</v>
      </c>
      <c r="Q227" s="1103">
        <f t="shared" si="91"/>
        <v>12</v>
      </c>
      <c r="T227" s="2131" t="s">
        <v>1287</v>
      </c>
      <c r="U227" s="2132"/>
      <c r="V227" s="2133" t="s">
        <v>1292</v>
      </c>
      <c r="W227" s="2134"/>
      <c r="X227" s="2135"/>
      <c r="Y227" s="1097">
        <v>800</v>
      </c>
      <c r="Z227" s="1098">
        <v>1</v>
      </c>
      <c r="AA227" s="1098">
        <v>1</v>
      </c>
      <c r="AB227" s="1098">
        <v>1</v>
      </c>
      <c r="AC227" s="1098">
        <v>1</v>
      </c>
      <c r="AD227" s="891"/>
      <c r="AE227" s="891"/>
    </row>
    <row r="228" spans="1:31" s="884" customFormat="1" ht="26.65" customHeight="1">
      <c r="A228" s="1099" t="s">
        <v>1264</v>
      </c>
      <c r="B228" s="1100"/>
      <c r="C228" s="1101" t="s">
        <v>1293</v>
      </c>
      <c r="D228" s="1102">
        <v>2</v>
      </c>
      <c r="E228" s="1102">
        <v>6</v>
      </c>
      <c r="F228" s="1103">
        <f t="shared" si="90"/>
        <v>12</v>
      </c>
      <c r="G228" s="1086"/>
      <c r="H228" s="1086"/>
      <c r="I228" s="1086"/>
      <c r="J228" s="1086"/>
      <c r="K228" s="893"/>
      <c r="L228" s="1099" t="s">
        <v>1290</v>
      </c>
      <c r="M228" s="1100"/>
      <c r="N228" s="1101" t="s">
        <v>1294</v>
      </c>
      <c r="O228" s="1102">
        <v>2</v>
      </c>
      <c r="P228" s="1102">
        <v>6</v>
      </c>
      <c r="Q228" s="1103">
        <f t="shared" si="91"/>
        <v>12</v>
      </c>
      <c r="T228" s="2131" t="s">
        <v>1287</v>
      </c>
      <c r="U228" s="2132"/>
      <c r="V228" s="2133" t="s">
        <v>1295</v>
      </c>
      <c r="W228" s="2134"/>
      <c r="X228" s="2135"/>
      <c r="Y228" s="1097">
        <v>1000</v>
      </c>
      <c r="Z228" s="1098">
        <v>5</v>
      </c>
      <c r="AA228" s="1098">
        <v>5</v>
      </c>
      <c r="AB228" s="1098">
        <v>5</v>
      </c>
      <c r="AC228" s="1098">
        <v>5</v>
      </c>
      <c r="AD228" s="891"/>
      <c r="AE228" s="891"/>
    </row>
    <row r="229" spans="1:31" s="884" customFormat="1" ht="26.65" customHeight="1">
      <c r="A229" s="1099" t="s">
        <v>1264</v>
      </c>
      <c r="B229" s="1100"/>
      <c r="C229" s="1101" t="s">
        <v>1296</v>
      </c>
      <c r="D229" s="1102">
        <v>5</v>
      </c>
      <c r="E229" s="1102">
        <v>6</v>
      </c>
      <c r="F229" s="1103">
        <f t="shared" si="90"/>
        <v>30</v>
      </c>
      <c r="G229" s="1086"/>
      <c r="H229" s="1086"/>
      <c r="I229" s="1086"/>
      <c r="J229" s="1086"/>
      <c r="K229" s="893"/>
      <c r="L229" s="1099" t="s">
        <v>1290</v>
      </c>
      <c r="M229" s="1100"/>
      <c r="N229" s="1101" t="s">
        <v>1297</v>
      </c>
      <c r="O229" s="1102">
        <v>2</v>
      </c>
      <c r="P229" s="1102">
        <v>6</v>
      </c>
      <c r="Q229" s="1103">
        <f t="shared" si="91"/>
        <v>12</v>
      </c>
      <c r="T229" s="2126" t="s">
        <v>1298</v>
      </c>
      <c r="U229" s="2127"/>
      <c r="V229" s="2160" t="s">
        <v>1299</v>
      </c>
      <c r="W229" s="2161"/>
      <c r="X229" s="2162"/>
      <c r="Y229" s="1111">
        <v>600</v>
      </c>
      <c r="Z229" s="1112"/>
      <c r="AA229" s="1112"/>
      <c r="AB229" s="1112"/>
      <c r="AC229" s="1112"/>
      <c r="AD229" s="891"/>
      <c r="AE229" s="891"/>
    </row>
    <row r="230" spans="1:31" s="884" customFormat="1" ht="26.65" customHeight="1">
      <c r="A230" s="1099" t="s">
        <v>1300</v>
      </c>
      <c r="B230" s="1100"/>
      <c r="C230" s="1101">
        <v>38</v>
      </c>
      <c r="D230" s="1102">
        <v>4</v>
      </c>
      <c r="E230" s="1102">
        <v>6</v>
      </c>
      <c r="F230" s="1103">
        <f t="shared" si="90"/>
        <v>24</v>
      </c>
      <c r="G230" s="1086"/>
      <c r="H230" s="1086"/>
      <c r="I230" s="1086"/>
      <c r="J230" s="1086"/>
      <c r="K230" s="893"/>
      <c r="L230" s="1099" t="s">
        <v>1290</v>
      </c>
      <c r="M230" s="1100"/>
      <c r="N230" s="1101" t="s">
        <v>1297</v>
      </c>
      <c r="O230" s="1102">
        <v>2</v>
      </c>
      <c r="P230" s="1102">
        <v>6</v>
      </c>
      <c r="Q230" s="1103">
        <f t="shared" si="91"/>
        <v>12</v>
      </c>
      <c r="T230" s="2131" t="s">
        <v>1301</v>
      </c>
      <c r="U230" s="2132"/>
      <c r="V230" s="2133" t="s">
        <v>1302</v>
      </c>
      <c r="W230" s="2134"/>
      <c r="X230" s="2135"/>
      <c r="Y230" s="1097">
        <v>600</v>
      </c>
      <c r="Z230" s="1098">
        <v>2</v>
      </c>
      <c r="AA230" s="1098">
        <v>2</v>
      </c>
      <c r="AB230" s="1098">
        <v>2</v>
      </c>
      <c r="AC230" s="1098">
        <v>2</v>
      </c>
      <c r="AD230" s="891"/>
      <c r="AE230" s="891"/>
    </row>
    <row r="231" spans="1:31" s="884" customFormat="1" ht="26.65" customHeight="1">
      <c r="A231" s="1099" t="s">
        <v>1300</v>
      </c>
      <c r="B231" s="1100"/>
      <c r="C231" s="1101">
        <v>39</v>
      </c>
      <c r="D231" s="1102">
        <v>2</v>
      </c>
      <c r="E231" s="1102">
        <v>6</v>
      </c>
      <c r="F231" s="1103">
        <f t="shared" si="90"/>
        <v>12</v>
      </c>
      <c r="G231" s="1086"/>
      <c r="H231" s="1086"/>
      <c r="I231" s="1086"/>
      <c r="J231" s="1086"/>
      <c r="K231" s="893"/>
      <c r="L231" s="1099" t="s">
        <v>1290</v>
      </c>
      <c r="M231" s="1100"/>
      <c r="N231" s="1101" t="s">
        <v>1303</v>
      </c>
      <c r="O231" s="1102">
        <v>2</v>
      </c>
      <c r="P231" s="1102">
        <v>6</v>
      </c>
      <c r="Q231" s="1103">
        <f t="shared" si="91"/>
        <v>12</v>
      </c>
      <c r="T231" s="2131" t="s">
        <v>1230</v>
      </c>
      <c r="U231" s="2132"/>
      <c r="V231" s="2133" t="s">
        <v>1304</v>
      </c>
      <c r="W231" s="2134"/>
      <c r="X231" s="2135"/>
      <c r="Y231" s="1097">
        <v>600</v>
      </c>
      <c r="Z231" s="1098">
        <v>5</v>
      </c>
      <c r="AA231" s="1098">
        <v>5</v>
      </c>
      <c r="AB231" s="1098">
        <v>5</v>
      </c>
      <c r="AC231" s="1098">
        <v>5</v>
      </c>
      <c r="AD231" s="891"/>
      <c r="AE231" s="891"/>
    </row>
    <row r="232" spans="1:31" s="884" customFormat="1" ht="26.65" customHeight="1">
      <c r="A232" s="1099" t="s">
        <v>1300</v>
      </c>
      <c r="B232" s="1100"/>
      <c r="C232" s="1101">
        <v>40</v>
      </c>
      <c r="D232" s="1102">
        <v>2</v>
      </c>
      <c r="E232" s="1102">
        <v>6</v>
      </c>
      <c r="F232" s="1103">
        <f t="shared" si="90"/>
        <v>12</v>
      </c>
      <c r="G232" s="1086"/>
      <c r="H232" s="1086"/>
      <c r="I232" s="1086"/>
      <c r="J232" s="1086"/>
      <c r="K232" s="893"/>
      <c r="L232" s="1099" t="s">
        <v>1290</v>
      </c>
      <c r="M232" s="1100"/>
      <c r="N232" s="1101" t="s">
        <v>1305</v>
      </c>
      <c r="O232" s="1102">
        <v>2</v>
      </c>
      <c r="P232" s="1102">
        <v>6</v>
      </c>
      <c r="Q232" s="1103">
        <f t="shared" si="91"/>
        <v>12</v>
      </c>
      <c r="T232" s="2126" t="s">
        <v>1306</v>
      </c>
      <c r="U232" s="2127"/>
      <c r="V232" s="2160" t="s">
        <v>1307</v>
      </c>
      <c r="W232" s="2161"/>
      <c r="X232" s="2162"/>
      <c r="Y232" s="1111">
        <v>600</v>
      </c>
      <c r="Z232" s="1112"/>
      <c r="AA232" s="1112"/>
      <c r="AB232" s="1112"/>
      <c r="AC232" s="1112"/>
      <c r="AD232" s="891"/>
      <c r="AE232" s="891"/>
    </row>
    <row r="233" spans="1:31" s="884" customFormat="1" ht="26.65" customHeight="1">
      <c r="A233" s="1099" t="s">
        <v>1300</v>
      </c>
      <c r="B233" s="1100"/>
      <c r="C233" s="1101">
        <v>145</v>
      </c>
      <c r="D233" s="1102">
        <v>4</v>
      </c>
      <c r="E233" s="1102">
        <v>6</v>
      </c>
      <c r="F233" s="1103">
        <f t="shared" si="90"/>
        <v>24</v>
      </c>
      <c r="G233" s="1086"/>
      <c r="H233" s="1086"/>
      <c r="I233" s="1086"/>
      <c r="J233" s="1086"/>
      <c r="K233" s="893"/>
      <c r="L233" s="1099" t="s">
        <v>1290</v>
      </c>
      <c r="M233" s="1100"/>
      <c r="N233" s="1102" t="s">
        <v>1308</v>
      </c>
      <c r="O233" s="1102">
        <v>4</v>
      </c>
      <c r="P233" s="1102">
        <v>6</v>
      </c>
      <c r="Q233" s="1103">
        <f t="shared" si="91"/>
        <v>24</v>
      </c>
      <c r="T233" s="2126" t="s">
        <v>1306</v>
      </c>
      <c r="U233" s="2127"/>
      <c r="V233" s="2160" t="s">
        <v>1309</v>
      </c>
      <c r="W233" s="2161"/>
      <c r="X233" s="2162"/>
      <c r="Y233" s="1111">
        <v>800</v>
      </c>
      <c r="Z233" s="1112"/>
      <c r="AA233" s="1112"/>
      <c r="AB233" s="1112"/>
      <c r="AC233" s="1112"/>
      <c r="AD233" s="891"/>
      <c r="AE233" s="891"/>
    </row>
    <row r="234" spans="1:31" s="884" customFormat="1" ht="26.65" customHeight="1">
      <c r="A234" s="1099" t="s">
        <v>1280</v>
      </c>
      <c r="B234" s="1100"/>
      <c r="C234" s="1101" t="s">
        <v>1310</v>
      </c>
      <c r="D234" s="1102">
        <v>2</v>
      </c>
      <c r="E234" s="1102">
        <v>6</v>
      </c>
      <c r="F234" s="1103">
        <f t="shared" si="90"/>
        <v>12</v>
      </c>
      <c r="G234" s="1086"/>
      <c r="H234" s="1086"/>
      <c r="I234" s="1086"/>
      <c r="J234" s="1086"/>
      <c r="K234" s="1124"/>
      <c r="L234" s="1099" t="s">
        <v>1290</v>
      </c>
      <c r="M234" s="1100"/>
      <c r="N234" s="1102" t="s">
        <v>1311</v>
      </c>
      <c r="O234" s="1102">
        <v>3</v>
      </c>
      <c r="P234" s="1102">
        <v>6</v>
      </c>
      <c r="Q234" s="1103">
        <f t="shared" si="91"/>
        <v>18</v>
      </c>
      <c r="T234" s="2131" t="s">
        <v>1245</v>
      </c>
      <c r="U234" s="2132"/>
      <c r="V234" s="2133" t="s">
        <v>1312</v>
      </c>
      <c r="W234" s="2134"/>
      <c r="X234" s="2135"/>
      <c r="Y234" s="1097">
        <v>600</v>
      </c>
      <c r="Z234" s="1098">
        <v>2</v>
      </c>
      <c r="AA234" s="1098">
        <v>2</v>
      </c>
      <c r="AB234" s="1098">
        <v>2</v>
      </c>
      <c r="AC234" s="1098">
        <v>2</v>
      </c>
      <c r="AD234" s="891"/>
      <c r="AE234" s="891"/>
    </row>
    <row r="235" spans="1:31" s="884" customFormat="1" ht="26.65" customHeight="1">
      <c r="A235" s="1099" t="s">
        <v>1280</v>
      </c>
      <c r="B235" s="1100"/>
      <c r="C235" s="1101" t="s">
        <v>1313</v>
      </c>
      <c r="D235" s="1102">
        <v>4</v>
      </c>
      <c r="E235" s="1102">
        <v>6</v>
      </c>
      <c r="F235" s="1103">
        <f t="shared" si="90"/>
        <v>24</v>
      </c>
      <c r="G235" s="1086"/>
      <c r="H235" s="1086"/>
      <c r="I235" s="1086"/>
      <c r="J235" s="1086"/>
      <c r="K235" s="1124"/>
      <c r="L235" s="1099" t="s">
        <v>1290</v>
      </c>
      <c r="M235" s="1100"/>
      <c r="N235" s="1102" t="s">
        <v>1314</v>
      </c>
      <c r="O235" s="1102">
        <v>4</v>
      </c>
      <c r="P235" s="1102">
        <v>6</v>
      </c>
      <c r="Q235" s="1103">
        <f t="shared" si="91"/>
        <v>24</v>
      </c>
      <c r="T235" s="2131" t="s">
        <v>1245</v>
      </c>
      <c r="U235" s="2132"/>
      <c r="V235" s="2133" t="s">
        <v>1254</v>
      </c>
      <c r="W235" s="2134"/>
      <c r="X235" s="2135"/>
      <c r="Y235" s="1097">
        <v>800</v>
      </c>
      <c r="Z235" s="1098">
        <v>1</v>
      </c>
      <c r="AA235" s="1098">
        <v>1</v>
      </c>
      <c r="AB235" s="1098">
        <v>1</v>
      </c>
      <c r="AC235" s="1098">
        <v>1</v>
      </c>
      <c r="AD235" s="891"/>
      <c r="AE235" s="891"/>
    </row>
    <row r="236" spans="1:31" s="884" customFormat="1" ht="26.65" customHeight="1">
      <c r="A236" s="1099" t="s">
        <v>1280</v>
      </c>
      <c r="B236" s="1100"/>
      <c r="C236" s="1101" t="s">
        <v>1315</v>
      </c>
      <c r="D236" s="1102">
        <v>4</v>
      </c>
      <c r="E236" s="1102">
        <v>6</v>
      </c>
      <c r="F236" s="1103">
        <f t="shared" si="90"/>
        <v>24</v>
      </c>
      <c r="G236" s="1086"/>
      <c r="H236" s="1086"/>
      <c r="I236" s="1086"/>
      <c r="J236" s="1086"/>
      <c r="K236" s="1086"/>
      <c r="L236" s="1099" t="s">
        <v>1290</v>
      </c>
      <c r="M236" s="1100"/>
      <c r="N236" s="1101" t="s">
        <v>1316</v>
      </c>
      <c r="O236" s="1102">
        <v>2</v>
      </c>
      <c r="P236" s="1102">
        <v>6</v>
      </c>
      <c r="Q236" s="1103">
        <f t="shared" si="91"/>
        <v>12</v>
      </c>
      <c r="T236" s="2131" t="s">
        <v>1262</v>
      </c>
      <c r="U236" s="2132"/>
      <c r="V236" s="2133" t="s">
        <v>1279</v>
      </c>
      <c r="W236" s="2134"/>
      <c r="X236" s="2135"/>
      <c r="Y236" s="1097">
        <v>600</v>
      </c>
      <c r="Z236" s="1098">
        <v>1</v>
      </c>
      <c r="AA236" s="1098">
        <v>1</v>
      </c>
      <c r="AB236" s="1098">
        <v>1</v>
      </c>
      <c r="AC236" s="1098">
        <v>1</v>
      </c>
      <c r="AD236" s="891"/>
      <c r="AE236" s="891"/>
    </row>
    <row r="237" spans="1:31" s="884" customFormat="1" ht="26.65" customHeight="1">
      <c r="A237" s="1099" t="s">
        <v>1284</v>
      </c>
      <c r="B237" s="1100"/>
      <c r="C237" s="1101">
        <v>34</v>
      </c>
      <c r="D237" s="1102">
        <v>2</v>
      </c>
      <c r="E237" s="1102">
        <v>6</v>
      </c>
      <c r="F237" s="1103">
        <f t="shared" si="90"/>
        <v>12</v>
      </c>
      <c r="G237" s="1086"/>
      <c r="H237" s="1086"/>
      <c r="I237" s="1086"/>
      <c r="J237" s="1086"/>
      <c r="K237" s="893"/>
      <c r="L237" s="1113" t="s">
        <v>1290</v>
      </c>
      <c r="M237" s="1114"/>
      <c r="N237" s="1115" t="s">
        <v>1317</v>
      </c>
      <c r="O237" s="1116">
        <v>2</v>
      </c>
      <c r="P237" s="1116">
        <v>6</v>
      </c>
      <c r="Q237" s="1103">
        <f t="shared" si="91"/>
        <v>12</v>
      </c>
      <c r="T237" s="2131" t="s">
        <v>1262</v>
      </c>
      <c r="U237" s="2132"/>
      <c r="V237" s="2133" t="s">
        <v>1318</v>
      </c>
      <c r="W237" s="2134"/>
      <c r="X237" s="2135"/>
      <c r="Y237" s="1097">
        <v>800</v>
      </c>
      <c r="Z237" s="1098">
        <v>3</v>
      </c>
      <c r="AA237" s="1098">
        <v>3</v>
      </c>
      <c r="AB237" s="1098">
        <v>3</v>
      </c>
      <c r="AC237" s="1098">
        <v>3</v>
      </c>
      <c r="AD237" s="891"/>
      <c r="AE237" s="891"/>
    </row>
    <row r="238" spans="1:31" s="884" customFormat="1" ht="26.65" customHeight="1">
      <c r="A238" s="1099" t="s">
        <v>1284</v>
      </c>
      <c r="B238" s="1100"/>
      <c r="C238" s="1101">
        <v>35</v>
      </c>
      <c r="D238" s="1102">
        <v>3</v>
      </c>
      <c r="E238" s="1102">
        <v>6</v>
      </c>
      <c r="F238" s="1103">
        <f t="shared" si="90"/>
        <v>18</v>
      </c>
      <c r="G238" s="1086"/>
      <c r="H238" s="1086"/>
      <c r="I238" s="1086"/>
      <c r="J238" s="1086"/>
      <c r="K238" s="893"/>
      <c r="L238" s="1099" t="s">
        <v>1290</v>
      </c>
      <c r="M238" s="1100"/>
      <c r="N238" s="1101" t="s">
        <v>1319</v>
      </c>
      <c r="O238" s="1102">
        <v>2</v>
      </c>
      <c r="P238" s="1102">
        <v>6</v>
      </c>
      <c r="Q238" s="1103">
        <f t="shared" si="91"/>
        <v>12</v>
      </c>
      <c r="T238" s="2131" t="s">
        <v>1262</v>
      </c>
      <c r="U238" s="2132"/>
      <c r="V238" s="2133" t="s">
        <v>1320</v>
      </c>
      <c r="W238" s="2134"/>
      <c r="X238" s="2135"/>
      <c r="Y238" s="1097">
        <v>1000</v>
      </c>
      <c r="Z238" s="1098">
        <v>3</v>
      </c>
      <c r="AA238" s="1098">
        <v>3</v>
      </c>
      <c r="AB238" s="1098">
        <v>3</v>
      </c>
      <c r="AC238" s="1098">
        <v>3</v>
      </c>
      <c r="AD238" s="891"/>
      <c r="AE238" s="891"/>
    </row>
    <row r="239" spans="1:31" s="884" customFormat="1" ht="26.65" customHeight="1">
      <c r="A239" s="1099" t="s">
        <v>1321</v>
      </c>
      <c r="B239" s="1100"/>
      <c r="C239" s="1101" t="s">
        <v>1322</v>
      </c>
      <c r="D239" s="1102">
        <v>2</v>
      </c>
      <c r="E239" s="1102">
        <v>6</v>
      </c>
      <c r="F239" s="1103">
        <f t="shared" si="90"/>
        <v>12</v>
      </c>
      <c r="G239" s="1086"/>
      <c r="H239" s="1086"/>
      <c r="I239" s="1086"/>
      <c r="J239" s="1086"/>
      <c r="K239" s="893"/>
      <c r="L239" s="1099" t="s">
        <v>1290</v>
      </c>
      <c r="M239" s="1100"/>
      <c r="N239" s="1101" t="s">
        <v>1323</v>
      </c>
      <c r="O239" s="1102">
        <v>2</v>
      </c>
      <c r="P239" s="1102">
        <v>6</v>
      </c>
      <c r="Q239" s="1103">
        <f t="shared" si="91"/>
        <v>12</v>
      </c>
      <c r="T239" s="2131" t="s">
        <v>1262</v>
      </c>
      <c r="U239" s="2132"/>
      <c r="V239" s="2133" t="s">
        <v>1324</v>
      </c>
      <c r="W239" s="2134"/>
      <c r="X239" s="2135"/>
      <c r="Y239" s="1097">
        <v>1200</v>
      </c>
      <c r="Z239" s="1098">
        <v>2</v>
      </c>
      <c r="AA239" s="1098">
        <v>2</v>
      </c>
      <c r="AB239" s="1098">
        <v>2</v>
      </c>
      <c r="AC239" s="1098">
        <v>2</v>
      </c>
      <c r="AD239" s="891"/>
      <c r="AE239" s="891"/>
    </row>
    <row r="240" spans="1:31" s="884" customFormat="1" ht="26.65" customHeight="1">
      <c r="A240" s="1099" t="s">
        <v>1321</v>
      </c>
      <c r="B240" s="1100"/>
      <c r="C240" s="1101" t="s">
        <v>1325</v>
      </c>
      <c r="D240" s="1102">
        <v>0</v>
      </c>
      <c r="E240" s="1102">
        <v>6</v>
      </c>
      <c r="F240" s="1103">
        <f t="shared" si="90"/>
        <v>0</v>
      </c>
      <c r="G240" s="1086"/>
      <c r="H240" s="1086"/>
      <c r="I240" s="1086"/>
      <c r="J240" s="1086"/>
      <c r="K240" s="1124"/>
      <c r="L240" s="1099" t="s">
        <v>1290</v>
      </c>
      <c r="M240" s="1100"/>
      <c r="N240" s="1101" t="s">
        <v>1326</v>
      </c>
      <c r="O240" s="1102">
        <v>2</v>
      </c>
      <c r="P240" s="1102">
        <v>6</v>
      </c>
      <c r="Q240" s="1103">
        <f t="shared" si="91"/>
        <v>12</v>
      </c>
      <c r="T240" s="2131" t="s">
        <v>1290</v>
      </c>
      <c r="U240" s="2132"/>
      <c r="V240" s="2133" t="s">
        <v>1327</v>
      </c>
      <c r="W240" s="2134"/>
      <c r="X240" s="2135"/>
      <c r="Y240" s="1097">
        <v>600</v>
      </c>
      <c r="Z240" s="1098">
        <v>5</v>
      </c>
      <c r="AA240" s="1098">
        <v>5</v>
      </c>
      <c r="AB240" s="1098">
        <v>5</v>
      </c>
      <c r="AC240" s="1098">
        <v>5</v>
      </c>
      <c r="AD240" s="891"/>
      <c r="AE240" s="891"/>
    </row>
    <row r="241" spans="1:31" s="884" customFormat="1" ht="26.65" customHeight="1">
      <c r="A241" s="1099" t="s">
        <v>1321</v>
      </c>
      <c r="B241" s="1100"/>
      <c r="C241" s="1101" t="s">
        <v>1328</v>
      </c>
      <c r="D241" s="1102">
        <v>4</v>
      </c>
      <c r="E241" s="1102">
        <v>6</v>
      </c>
      <c r="F241" s="1103">
        <f t="shared" si="90"/>
        <v>24</v>
      </c>
      <c r="G241" s="1086"/>
      <c r="H241" s="1086"/>
      <c r="I241" s="1086"/>
      <c r="J241" s="1086"/>
      <c r="K241" s="893"/>
      <c r="L241" s="1099" t="s">
        <v>1290</v>
      </c>
      <c r="M241" s="1100"/>
      <c r="N241" s="1101" t="s">
        <v>1329</v>
      </c>
      <c r="O241" s="1102">
        <v>2</v>
      </c>
      <c r="P241" s="1102">
        <v>6</v>
      </c>
      <c r="Q241" s="1103">
        <f t="shared" si="91"/>
        <v>12</v>
      </c>
      <c r="T241" s="2131" t="s">
        <v>1290</v>
      </c>
      <c r="U241" s="2132"/>
      <c r="V241" s="2133" t="s">
        <v>1330</v>
      </c>
      <c r="W241" s="2134"/>
      <c r="X241" s="2135"/>
      <c r="Y241" s="1097">
        <v>800</v>
      </c>
      <c r="Z241" s="1098">
        <v>3</v>
      </c>
      <c r="AA241" s="1098">
        <v>3</v>
      </c>
      <c r="AB241" s="1098">
        <v>3</v>
      </c>
      <c r="AC241" s="1098">
        <v>3</v>
      </c>
      <c r="AD241" s="891"/>
      <c r="AE241" s="891"/>
    </row>
    <row r="242" spans="1:31" s="884" customFormat="1" ht="26.65" customHeight="1">
      <c r="A242" s="1099" t="s">
        <v>1321</v>
      </c>
      <c r="B242" s="1100"/>
      <c r="C242" s="1101" t="s">
        <v>1331</v>
      </c>
      <c r="D242" s="1102">
        <v>4</v>
      </c>
      <c r="E242" s="1102">
        <v>6</v>
      </c>
      <c r="F242" s="1103">
        <f t="shared" si="90"/>
        <v>24</v>
      </c>
      <c r="G242" s="1086"/>
      <c r="H242" s="1086"/>
      <c r="I242" s="1086"/>
      <c r="J242" s="1086"/>
      <c r="K242" s="893"/>
      <c r="L242" s="1099" t="s">
        <v>1290</v>
      </c>
      <c r="M242" s="1100"/>
      <c r="N242" s="1101" t="s">
        <v>1332</v>
      </c>
      <c r="O242" s="1102">
        <v>4</v>
      </c>
      <c r="P242" s="1102">
        <v>6</v>
      </c>
      <c r="Q242" s="1103">
        <f t="shared" si="91"/>
        <v>24</v>
      </c>
      <c r="T242" s="2131" t="s">
        <v>1290</v>
      </c>
      <c r="U242" s="2132"/>
      <c r="V242" s="2133" t="s">
        <v>1333</v>
      </c>
      <c r="W242" s="2134"/>
      <c r="X242" s="2135"/>
      <c r="Y242" s="1097">
        <v>600</v>
      </c>
      <c r="Z242" s="1098">
        <v>2</v>
      </c>
      <c r="AA242" s="1098">
        <v>2</v>
      </c>
      <c r="AB242" s="1098">
        <v>2</v>
      </c>
      <c r="AC242" s="1098">
        <v>2</v>
      </c>
      <c r="AD242" s="891"/>
      <c r="AE242" s="891"/>
    </row>
    <row r="243" spans="1:31" s="884" customFormat="1" ht="26.65" customHeight="1">
      <c r="A243" s="1099" t="s">
        <v>1321</v>
      </c>
      <c r="B243" s="1100"/>
      <c r="C243" s="1101" t="s">
        <v>1334</v>
      </c>
      <c r="D243" s="1102">
        <v>0</v>
      </c>
      <c r="E243" s="1102">
        <v>6</v>
      </c>
      <c r="F243" s="1103">
        <f t="shared" si="90"/>
        <v>0</v>
      </c>
      <c r="G243" s="1086"/>
      <c r="H243" s="1086"/>
      <c r="I243" s="1086"/>
      <c r="J243" s="1086"/>
      <c r="K243" s="893"/>
      <c r="L243" s="1099" t="s">
        <v>1290</v>
      </c>
      <c r="M243" s="1100"/>
      <c r="N243" s="1101" t="s">
        <v>1335</v>
      </c>
      <c r="O243" s="1102">
        <v>4</v>
      </c>
      <c r="P243" s="1102">
        <v>6</v>
      </c>
      <c r="Q243" s="1103">
        <f t="shared" si="91"/>
        <v>24</v>
      </c>
      <c r="T243" s="2131" t="s">
        <v>1290</v>
      </c>
      <c r="U243" s="2132"/>
      <c r="V243" s="2133" t="s">
        <v>1336</v>
      </c>
      <c r="W243" s="2134"/>
      <c r="X243" s="2135"/>
      <c r="Y243" s="1097">
        <v>600</v>
      </c>
      <c r="Z243" s="1098">
        <v>3</v>
      </c>
      <c r="AA243" s="1098">
        <v>3</v>
      </c>
      <c r="AB243" s="1098">
        <v>3</v>
      </c>
      <c r="AC243" s="1098">
        <v>3</v>
      </c>
      <c r="AD243" s="891"/>
      <c r="AE243" s="891"/>
    </row>
    <row r="244" spans="1:31" s="884" customFormat="1" ht="26.65" customHeight="1">
      <c r="A244" s="1099" t="s">
        <v>1321</v>
      </c>
      <c r="B244" s="1100"/>
      <c r="C244" s="1101" t="s">
        <v>1337</v>
      </c>
      <c r="D244" s="1102">
        <v>4</v>
      </c>
      <c r="E244" s="1102">
        <v>6</v>
      </c>
      <c r="F244" s="1103">
        <f t="shared" si="90"/>
        <v>24</v>
      </c>
      <c r="G244" s="1086"/>
      <c r="H244" s="1086"/>
      <c r="I244" s="1086"/>
      <c r="J244" s="1086"/>
      <c r="K244" s="893"/>
      <c r="L244" s="1099" t="s">
        <v>1338</v>
      </c>
      <c r="M244" s="1100"/>
      <c r="N244" s="1101" t="s">
        <v>1339</v>
      </c>
      <c r="O244" s="1102">
        <v>2</v>
      </c>
      <c r="P244" s="1102">
        <v>6</v>
      </c>
      <c r="Q244" s="1103">
        <f t="shared" si="91"/>
        <v>12</v>
      </c>
      <c r="T244" s="2131" t="s">
        <v>1290</v>
      </c>
      <c r="U244" s="2132"/>
      <c r="V244" s="2133" t="s">
        <v>1340</v>
      </c>
      <c r="W244" s="2134"/>
      <c r="X244" s="2135"/>
      <c r="Y244" s="1097">
        <v>1500</v>
      </c>
      <c r="Z244" s="1098">
        <v>1</v>
      </c>
      <c r="AA244" s="1098">
        <v>1</v>
      </c>
      <c r="AB244" s="1098">
        <v>1</v>
      </c>
      <c r="AC244" s="1098">
        <v>1</v>
      </c>
      <c r="AD244" s="891"/>
      <c r="AE244" s="891"/>
    </row>
    <row r="245" spans="1:31" s="884" customFormat="1" ht="26.65" customHeight="1">
      <c r="A245" s="1099" t="s">
        <v>1321</v>
      </c>
      <c r="B245" s="1100"/>
      <c r="C245" s="1101" t="s">
        <v>1341</v>
      </c>
      <c r="D245" s="1102">
        <v>5</v>
      </c>
      <c r="E245" s="1102">
        <v>6</v>
      </c>
      <c r="F245" s="1103">
        <f t="shared" si="90"/>
        <v>30</v>
      </c>
      <c r="G245" s="1086"/>
      <c r="H245" s="1086"/>
      <c r="I245" s="1086"/>
      <c r="J245" s="1086"/>
      <c r="K245" s="893"/>
      <c r="L245" s="1099" t="s">
        <v>1338</v>
      </c>
      <c r="M245" s="1100"/>
      <c r="N245" s="1101" t="s">
        <v>1342</v>
      </c>
      <c r="O245" s="1102">
        <v>4</v>
      </c>
      <c r="P245" s="1102">
        <v>6</v>
      </c>
      <c r="Q245" s="1103">
        <f t="shared" si="91"/>
        <v>24</v>
      </c>
      <c r="T245" s="2131" t="s">
        <v>1290</v>
      </c>
      <c r="U245" s="2132"/>
      <c r="V245" s="2133" t="s">
        <v>1326</v>
      </c>
      <c r="W245" s="2134"/>
      <c r="X245" s="2135"/>
      <c r="Y245" s="1097">
        <v>500</v>
      </c>
      <c r="Z245" s="1098">
        <v>1</v>
      </c>
      <c r="AA245" s="1098">
        <v>1</v>
      </c>
      <c r="AB245" s="1098">
        <v>1</v>
      </c>
      <c r="AC245" s="1098">
        <v>1</v>
      </c>
      <c r="AD245" s="891"/>
      <c r="AE245" s="891"/>
    </row>
    <row r="246" spans="1:31" s="884" customFormat="1" ht="26.65" customHeight="1">
      <c r="A246" s="1099" t="s">
        <v>1321</v>
      </c>
      <c r="B246" s="1100"/>
      <c r="C246" s="1101" t="s">
        <v>1343</v>
      </c>
      <c r="D246" s="1102">
        <v>2</v>
      </c>
      <c r="E246" s="1102">
        <v>6</v>
      </c>
      <c r="F246" s="1103">
        <f t="shared" si="90"/>
        <v>12</v>
      </c>
      <c r="G246" s="1086"/>
      <c r="H246" s="1086"/>
      <c r="I246" s="1086"/>
      <c r="J246" s="1086"/>
      <c r="K246" s="893"/>
      <c r="L246" s="1099" t="s">
        <v>1338</v>
      </c>
      <c r="M246" s="1100"/>
      <c r="N246" s="1101" t="s">
        <v>1344</v>
      </c>
      <c r="O246" s="1102">
        <v>2</v>
      </c>
      <c r="P246" s="1102">
        <v>6</v>
      </c>
      <c r="Q246" s="1103">
        <f t="shared" si="91"/>
        <v>12</v>
      </c>
      <c r="T246" s="2131" t="s">
        <v>1338</v>
      </c>
      <c r="U246" s="2132"/>
      <c r="V246" s="2133" t="s">
        <v>1345</v>
      </c>
      <c r="W246" s="2134"/>
      <c r="X246" s="2135"/>
      <c r="Y246" s="1097">
        <v>600</v>
      </c>
      <c r="Z246" s="1098">
        <v>2</v>
      </c>
      <c r="AA246" s="1098">
        <v>2</v>
      </c>
      <c r="AB246" s="1098">
        <v>2</v>
      </c>
      <c r="AC246" s="1098">
        <v>2</v>
      </c>
      <c r="AD246" s="891"/>
      <c r="AE246" s="891"/>
    </row>
    <row r="247" spans="1:31" s="884" customFormat="1" ht="26.65" customHeight="1">
      <c r="A247" s="1099" t="s">
        <v>1321</v>
      </c>
      <c r="B247" s="1100"/>
      <c r="C247" s="1101" t="s">
        <v>1346</v>
      </c>
      <c r="D247" s="1102">
        <v>2</v>
      </c>
      <c r="E247" s="1102">
        <v>6</v>
      </c>
      <c r="F247" s="1103">
        <f t="shared" si="90"/>
        <v>12</v>
      </c>
      <c r="G247" s="1086"/>
      <c r="H247" s="1086"/>
      <c r="I247" s="1086"/>
      <c r="J247" s="1086"/>
      <c r="L247" s="1099" t="s">
        <v>1338</v>
      </c>
      <c r="M247" s="1100"/>
      <c r="N247" s="1101" t="s">
        <v>1347</v>
      </c>
      <c r="O247" s="1102">
        <v>4</v>
      </c>
      <c r="P247" s="1102">
        <v>6</v>
      </c>
      <c r="Q247" s="1103">
        <f t="shared" si="91"/>
        <v>24</v>
      </c>
      <c r="T247" s="2131" t="s">
        <v>1338</v>
      </c>
      <c r="U247" s="2132"/>
      <c r="V247" s="2133" t="s">
        <v>1348</v>
      </c>
      <c r="W247" s="2134"/>
      <c r="X247" s="2135"/>
      <c r="Y247" s="1097">
        <v>1000</v>
      </c>
      <c r="Z247" s="1098">
        <v>2</v>
      </c>
      <c r="AA247" s="1098">
        <v>2</v>
      </c>
      <c r="AB247" s="1098">
        <v>2</v>
      </c>
      <c r="AC247" s="1098">
        <v>2</v>
      </c>
      <c r="AD247" s="891"/>
      <c r="AE247" s="891"/>
    </row>
    <row r="248" spans="1:31" s="884" customFormat="1" ht="26.65" customHeight="1">
      <c r="A248" s="1099" t="s">
        <v>1321</v>
      </c>
      <c r="B248" s="1100"/>
      <c r="C248" s="1101" t="s">
        <v>1349</v>
      </c>
      <c r="D248" s="1102">
        <v>4</v>
      </c>
      <c r="E248" s="1102">
        <v>6</v>
      </c>
      <c r="F248" s="1103">
        <f t="shared" si="90"/>
        <v>24</v>
      </c>
      <c r="G248" s="1086"/>
      <c r="H248" s="1086"/>
      <c r="I248" s="1086"/>
      <c r="J248" s="1086"/>
      <c r="K248" s="893"/>
      <c r="L248" s="1099" t="s">
        <v>1338</v>
      </c>
      <c r="M248" s="1100"/>
      <c r="N248" s="1101" t="s">
        <v>1350</v>
      </c>
      <c r="O248" s="1102">
        <v>4</v>
      </c>
      <c r="P248" s="1102">
        <v>6</v>
      </c>
      <c r="Q248" s="1103">
        <f t="shared" si="91"/>
        <v>24</v>
      </c>
      <c r="T248" s="2131" t="s">
        <v>1338</v>
      </c>
      <c r="U248" s="2132"/>
      <c r="V248" s="2133" t="s">
        <v>1351</v>
      </c>
      <c r="W248" s="2134"/>
      <c r="X248" s="2135"/>
      <c r="Y248" s="1097">
        <v>1200</v>
      </c>
      <c r="Z248" s="1098">
        <v>3</v>
      </c>
      <c r="AA248" s="1098">
        <v>3</v>
      </c>
      <c r="AB248" s="1098">
        <v>3</v>
      </c>
      <c r="AC248" s="1098">
        <v>3</v>
      </c>
      <c r="AD248" s="891"/>
      <c r="AE248" s="891"/>
    </row>
    <row r="249" spans="1:31" s="884" customFormat="1" ht="26.65" customHeight="1">
      <c r="A249" s="1099" t="s">
        <v>1321</v>
      </c>
      <c r="B249" s="1100"/>
      <c r="C249" s="1101" t="s">
        <v>1352</v>
      </c>
      <c r="D249" s="1102">
        <v>4</v>
      </c>
      <c r="E249" s="1102">
        <v>6</v>
      </c>
      <c r="F249" s="1103">
        <f t="shared" si="90"/>
        <v>24</v>
      </c>
      <c r="G249" s="1086"/>
      <c r="H249" s="1086"/>
      <c r="I249" s="1086"/>
      <c r="J249" s="1086"/>
      <c r="K249" s="1124"/>
      <c r="L249" s="1099" t="s">
        <v>1338</v>
      </c>
      <c r="M249" s="1100"/>
      <c r="N249" s="1101" t="s">
        <v>1353</v>
      </c>
      <c r="O249" s="1102">
        <v>2</v>
      </c>
      <c r="P249" s="1102">
        <v>6</v>
      </c>
      <c r="Q249" s="1103">
        <f t="shared" si="91"/>
        <v>12</v>
      </c>
      <c r="T249" s="2131" t="s">
        <v>1338</v>
      </c>
      <c r="U249" s="2132"/>
      <c r="V249" s="2133" t="s">
        <v>1342</v>
      </c>
      <c r="W249" s="2134"/>
      <c r="X249" s="2135"/>
      <c r="Y249" s="1097">
        <v>1500</v>
      </c>
      <c r="Z249" s="1098">
        <v>1</v>
      </c>
      <c r="AA249" s="1098">
        <v>1</v>
      </c>
      <c r="AB249" s="1098">
        <v>1</v>
      </c>
      <c r="AC249" s="1098">
        <v>1</v>
      </c>
      <c r="AD249" s="891"/>
      <c r="AE249" s="891"/>
    </row>
    <row r="250" spans="1:31" s="884" customFormat="1" ht="26.65" customHeight="1">
      <c r="A250" s="1099" t="s">
        <v>1321</v>
      </c>
      <c r="B250" s="1100"/>
      <c r="C250" s="1101" t="s">
        <v>1354</v>
      </c>
      <c r="D250" s="1102">
        <v>4</v>
      </c>
      <c r="E250" s="1102">
        <v>6</v>
      </c>
      <c r="F250" s="1103">
        <f t="shared" si="90"/>
        <v>24</v>
      </c>
      <c r="G250" s="1086"/>
      <c r="H250" s="1086"/>
      <c r="I250" s="1086"/>
      <c r="J250" s="1086"/>
      <c r="K250" s="1124"/>
      <c r="L250" s="1099" t="s">
        <v>1338</v>
      </c>
      <c r="M250" s="1100"/>
      <c r="N250" s="1101" t="s">
        <v>1355</v>
      </c>
      <c r="O250" s="1102">
        <v>2</v>
      </c>
      <c r="P250" s="1102">
        <v>6</v>
      </c>
      <c r="Q250" s="1103">
        <f t="shared" si="91"/>
        <v>12</v>
      </c>
      <c r="T250" s="2131" t="s">
        <v>1356</v>
      </c>
      <c r="U250" s="2132"/>
      <c r="V250" s="2133" t="s">
        <v>1357</v>
      </c>
      <c r="W250" s="2134"/>
      <c r="X250" s="2135"/>
      <c r="Y250" s="1097">
        <v>600</v>
      </c>
      <c r="Z250" s="1098">
        <v>4</v>
      </c>
      <c r="AA250" s="1098">
        <v>4</v>
      </c>
      <c r="AB250" s="1098">
        <v>4</v>
      </c>
      <c r="AC250" s="1098">
        <v>4</v>
      </c>
      <c r="AD250" s="891"/>
      <c r="AE250" s="891"/>
    </row>
    <row r="251" spans="1:31" s="884" customFormat="1" ht="26.65" customHeight="1">
      <c r="A251" s="1099" t="s">
        <v>1321</v>
      </c>
      <c r="B251" s="1100"/>
      <c r="C251" s="1101" t="s">
        <v>1358</v>
      </c>
      <c r="D251" s="1102">
        <v>3</v>
      </c>
      <c r="E251" s="1102">
        <v>6</v>
      </c>
      <c r="F251" s="1103">
        <f t="shared" si="90"/>
        <v>18</v>
      </c>
      <c r="G251" s="1086"/>
      <c r="H251" s="1086"/>
      <c r="I251" s="1086"/>
      <c r="J251" s="1086"/>
      <c r="K251" s="1086"/>
      <c r="L251" s="1099" t="s">
        <v>1338</v>
      </c>
      <c r="M251" s="1100"/>
      <c r="N251" s="1101" t="s">
        <v>1359</v>
      </c>
      <c r="O251" s="1102">
        <v>6</v>
      </c>
      <c r="P251" s="1102">
        <v>6</v>
      </c>
      <c r="Q251" s="1103">
        <f t="shared" si="91"/>
        <v>36</v>
      </c>
      <c r="T251" s="2131" t="s">
        <v>1356</v>
      </c>
      <c r="U251" s="2132"/>
      <c r="V251" s="2133" t="s">
        <v>1360</v>
      </c>
      <c r="W251" s="2134"/>
      <c r="X251" s="2135"/>
      <c r="Y251" s="1097">
        <v>1000</v>
      </c>
      <c r="Z251" s="1098">
        <v>1</v>
      </c>
      <c r="AA251" s="1098">
        <v>1</v>
      </c>
      <c r="AB251" s="1098">
        <v>1</v>
      </c>
      <c r="AC251" s="1098">
        <v>1</v>
      </c>
      <c r="AD251" s="891"/>
      <c r="AE251" s="891"/>
    </row>
    <row r="252" spans="1:31" s="884" customFormat="1" ht="26.65" customHeight="1">
      <c r="A252" s="1104" t="s">
        <v>1321</v>
      </c>
      <c r="B252" s="1105"/>
      <c r="C252" s="1101" t="s">
        <v>1361</v>
      </c>
      <c r="D252" s="1106">
        <v>2</v>
      </c>
      <c r="E252" s="1106">
        <v>6</v>
      </c>
      <c r="F252" s="1107">
        <f t="shared" si="90"/>
        <v>12</v>
      </c>
      <c r="G252" s="892"/>
      <c r="H252" s="1086"/>
      <c r="I252" s="1086"/>
      <c r="J252" s="1086"/>
      <c r="K252" s="1086"/>
      <c r="L252" s="1099" t="s">
        <v>1356</v>
      </c>
      <c r="M252" s="1100"/>
      <c r="N252" s="1101" t="s">
        <v>1362</v>
      </c>
      <c r="O252" s="1102">
        <v>6</v>
      </c>
      <c r="P252" s="1102">
        <v>6</v>
      </c>
      <c r="Q252" s="1103">
        <f t="shared" si="91"/>
        <v>36</v>
      </c>
      <c r="T252" s="2131" t="s">
        <v>1363</v>
      </c>
      <c r="U252" s="2132"/>
      <c r="V252" s="2133" t="s">
        <v>1364</v>
      </c>
      <c r="W252" s="2134"/>
      <c r="X252" s="2135"/>
      <c r="Y252" s="1097">
        <v>600</v>
      </c>
      <c r="Z252" s="1098">
        <v>2</v>
      </c>
      <c r="AA252" s="1098">
        <v>2</v>
      </c>
      <c r="AB252" s="1098">
        <v>2</v>
      </c>
      <c r="AC252" s="1098">
        <v>2</v>
      </c>
      <c r="AD252" s="891"/>
      <c r="AE252" s="891"/>
    </row>
    <row r="253" spans="1:31" s="884" customFormat="1" ht="26.65" customHeight="1">
      <c r="A253" s="1104" t="s">
        <v>1321</v>
      </c>
      <c r="B253" s="1105"/>
      <c r="C253" s="1101" t="s">
        <v>1292</v>
      </c>
      <c r="D253" s="1106">
        <v>2</v>
      </c>
      <c r="E253" s="1106">
        <v>6</v>
      </c>
      <c r="F253" s="1107">
        <f t="shared" si="90"/>
        <v>12</v>
      </c>
      <c r="G253" s="892"/>
      <c r="H253" s="1086"/>
      <c r="I253" s="1086"/>
      <c r="J253" s="1086"/>
      <c r="K253" s="1086"/>
      <c r="L253" s="1099" t="s">
        <v>1356</v>
      </c>
      <c r="M253" s="1100"/>
      <c r="N253" s="1101" t="s">
        <v>1365</v>
      </c>
      <c r="O253" s="1102">
        <v>4</v>
      </c>
      <c r="P253" s="1102">
        <v>6</v>
      </c>
      <c r="Q253" s="1103">
        <f t="shared" si="91"/>
        <v>24</v>
      </c>
      <c r="T253" s="2131" t="s">
        <v>1363</v>
      </c>
      <c r="U253" s="2132"/>
      <c r="V253" s="2133" t="s">
        <v>1366</v>
      </c>
      <c r="W253" s="2134"/>
      <c r="X253" s="2135"/>
      <c r="Y253" s="1097">
        <v>800</v>
      </c>
      <c r="Z253" s="1098">
        <v>1</v>
      </c>
      <c r="AA253" s="1098">
        <v>1</v>
      </c>
      <c r="AB253" s="1098">
        <v>1</v>
      </c>
      <c r="AC253" s="1098">
        <v>1</v>
      </c>
      <c r="AD253" s="891"/>
      <c r="AE253" s="891"/>
    </row>
    <row r="254" spans="1:31" s="884" customFormat="1" ht="26.65" customHeight="1">
      <c r="A254" s="1104" t="s">
        <v>1367</v>
      </c>
      <c r="B254" s="1105"/>
      <c r="C254" s="1101" t="s">
        <v>1368</v>
      </c>
      <c r="D254" s="1106">
        <v>2</v>
      </c>
      <c r="E254" s="1106">
        <v>6</v>
      </c>
      <c r="F254" s="1107">
        <f t="shared" si="90"/>
        <v>12</v>
      </c>
      <c r="G254" s="892"/>
      <c r="H254" s="1086"/>
      <c r="I254" s="1086"/>
      <c r="J254" s="1086"/>
      <c r="K254" s="1086"/>
      <c r="L254" s="1099" t="s">
        <v>1356</v>
      </c>
      <c r="M254" s="1100"/>
      <c r="N254" s="1101" t="s">
        <v>1369</v>
      </c>
      <c r="O254" s="1102">
        <v>4</v>
      </c>
      <c r="P254" s="1102">
        <v>6</v>
      </c>
      <c r="Q254" s="1103">
        <f t="shared" si="91"/>
        <v>24</v>
      </c>
      <c r="T254" s="2131" t="s">
        <v>1363</v>
      </c>
      <c r="U254" s="2132"/>
      <c r="V254" s="2133" t="s">
        <v>1370</v>
      </c>
      <c r="W254" s="2134"/>
      <c r="X254" s="2135"/>
      <c r="Y254" s="1097">
        <v>1200</v>
      </c>
      <c r="Z254" s="1098">
        <v>4</v>
      </c>
      <c r="AA254" s="1098">
        <v>4</v>
      </c>
      <c r="AB254" s="1098">
        <v>4</v>
      </c>
      <c r="AC254" s="1098">
        <v>4</v>
      </c>
      <c r="AD254" s="891"/>
      <c r="AE254" s="891"/>
    </row>
    <row r="255" spans="1:31" s="884" customFormat="1" ht="26.65" customHeight="1">
      <c r="A255" s="1104" t="s">
        <v>1367</v>
      </c>
      <c r="B255" s="1105"/>
      <c r="C255" s="1101" t="s">
        <v>1371</v>
      </c>
      <c r="D255" s="1106">
        <v>4</v>
      </c>
      <c r="E255" s="1106">
        <v>6</v>
      </c>
      <c r="F255" s="1107">
        <f t="shared" si="90"/>
        <v>24</v>
      </c>
      <c r="G255" s="892"/>
      <c r="H255" s="1086"/>
      <c r="I255" s="1086"/>
      <c r="J255" s="1086"/>
      <c r="K255" s="1086"/>
      <c r="L255" s="1099" t="s">
        <v>1356</v>
      </c>
      <c r="M255" s="1100"/>
      <c r="N255" s="1101" t="s">
        <v>1372</v>
      </c>
      <c r="O255" s="1102">
        <v>4</v>
      </c>
      <c r="P255" s="1102">
        <v>6</v>
      </c>
      <c r="Q255" s="1103">
        <f t="shared" si="91"/>
        <v>24</v>
      </c>
      <c r="T255" s="2126" t="s">
        <v>1373</v>
      </c>
      <c r="U255" s="2127"/>
      <c r="V255" s="2160" t="s">
        <v>1374</v>
      </c>
      <c r="W255" s="2161"/>
      <c r="X255" s="2162"/>
      <c r="Y255" s="1111">
        <v>600</v>
      </c>
      <c r="Z255" s="1112"/>
      <c r="AA255" s="1112"/>
      <c r="AB255" s="1112"/>
      <c r="AC255" s="1112"/>
      <c r="AD255" s="891"/>
      <c r="AE255" s="891"/>
    </row>
    <row r="256" spans="1:31" s="884" customFormat="1" ht="26.65" customHeight="1">
      <c r="A256" s="1104" t="s">
        <v>1367</v>
      </c>
      <c r="B256" s="1105"/>
      <c r="C256" s="1101" t="s">
        <v>1375</v>
      </c>
      <c r="D256" s="1106">
        <v>4</v>
      </c>
      <c r="E256" s="1106">
        <v>6</v>
      </c>
      <c r="F256" s="1107">
        <f t="shared" si="90"/>
        <v>24</v>
      </c>
      <c r="G256" s="892"/>
      <c r="H256" s="1086"/>
      <c r="L256" s="1099" t="s">
        <v>1356</v>
      </c>
      <c r="M256" s="1100"/>
      <c r="N256" s="1101" t="s">
        <v>1360</v>
      </c>
      <c r="O256" s="1102">
        <v>4</v>
      </c>
      <c r="P256" s="1102">
        <v>6</v>
      </c>
      <c r="Q256" s="1103">
        <f t="shared" si="91"/>
        <v>24</v>
      </c>
      <c r="T256" s="2126" t="s">
        <v>1376</v>
      </c>
      <c r="U256" s="2127"/>
      <c r="V256" s="2160" t="s">
        <v>1377</v>
      </c>
      <c r="W256" s="2161"/>
      <c r="X256" s="2162"/>
      <c r="Y256" s="1111"/>
      <c r="Z256" s="1112"/>
      <c r="AA256" s="1112"/>
      <c r="AB256" s="1112"/>
      <c r="AC256" s="1112"/>
      <c r="AD256" s="891"/>
      <c r="AE256" s="891"/>
    </row>
    <row r="257" spans="1:31" s="884" customFormat="1" ht="26.65" customHeight="1">
      <c r="A257" s="1125" t="s">
        <v>1378</v>
      </c>
      <c r="B257" s="1126"/>
      <c r="C257" s="887" t="s">
        <v>1379</v>
      </c>
      <c r="D257" s="1127"/>
      <c r="E257" s="1127">
        <v>6</v>
      </c>
      <c r="F257" s="1128">
        <f t="shared" si="90"/>
        <v>0</v>
      </c>
      <c r="G257" s="1129"/>
      <c r="H257" s="892"/>
      <c r="L257" s="1099" t="s">
        <v>1356</v>
      </c>
      <c r="M257" s="1100"/>
      <c r="N257" s="1101" t="s">
        <v>1380</v>
      </c>
      <c r="O257" s="1102">
        <v>3</v>
      </c>
      <c r="P257" s="1102">
        <v>6</v>
      </c>
      <c r="Q257" s="1103">
        <f t="shared" si="91"/>
        <v>18</v>
      </c>
      <c r="T257" s="2131" t="s">
        <v>1363</v>
      </c>
      <c r="U257" s="2132"/>
      <c r="V257" s="2133" t="s">
        <v>1381</v>
      </c>
      <c r="W257" s="2134"/>
      <c r="X257" s="2135"/>
      <c r="Y257" s="1097">
        <v>600</v>
      </c>
      <c r="Z257" s="1098">
        <v>2</v>
      </c>
      <c r="AA257" s="1098">
        <v>2</v>
      </c>
      <c r="AB257" s="1098">
        <v>2</v>
      </c>
      <c r="AC257" s="1098">
        <v>2</v>
      </c>
      <c r="AD257" s="891"/>
      <c r="AE257" s="891"/>
    </row>
    <row r="258" spans="1:31" s="884" customFormat="1" ht="26.65" customHeight="1">
      <c r="A258" s="1125" t="s">
        <v>1378</v>
      </c>
      <c r="B258" s="1126"/>
      <c r="C258" s="887" t="s">
        <v>1382</v>
      </c>
      <c r="D258" s="1127"/>
      <c r="E258" s="1127">
        <v>6</v>
      </c>
      <c r="F258" s="1128">
        <f t="shared" si="90"/>
        <v>0</v>
      </c>
      <c r="G258" s="1129"/>
      <c r="H258" s="892"/>
      <c r="I258" s="892"/>
      <c r="J258" s="892"/>
      <c r="L258" s="1099" t="s">
        <v>1356</v>
      </c>
      <c r="M258" s="1100"/>
      <c r="N258" s="1101" t="s">
        <v>1383</v>
      </c>
      <c r="O258" s="1102">
        <v>0</v>
      </c>
      <c r="P258" s="1102">
        <v>6</v>
      </c>
      <c r="Q258" s="1103">
        <f t="shared" si="91"/>
        <v>0</v>
      </c>
      <c r="T258" s="2126" t="s">
        <v>1378</v>
      </c>
      <c r="U258" s="2127"/>
      <c r="V258" s="2160" t="s">
        <v>1384</v>
      </c>
      <c r="W258" s="2161"/>
      <c r="X258" s="2162"/>
      <c r="Y258" s="1111">
        <v>600</v>
      </c>
      <c r="Z258" s="1112"/>
      <c r="AA258" s="1112"/>
      <c r="AB258" s="1112"/>
      <c r="AC258" s="1112"/>
      <c r="AD258" s="891"/>
      <c r="AE258" s="891"/>
    </row>
    <row r="259" spans="1:31" s="884" customFormat="1" ht="26.65" customHeight="1">
      <c r="A259" s="1104" t="s">
        <v>1378</v>
      </c>
      <c r="B259" s="1105"/>
      <c r="C259" s="1101" t="s">
        <v>1358</v>
      </c>
      <c r="D259" s="1106">
        <v>4</v>
      </c>
      <c r="E259" s="1106">
        <v>6</v>
      </c>
      <c r="F259" s="1107">
        <f t="shared" si="90"/>
        <v>24</v>
      </c>
      <c r="G259" s="892"/>
      <c r="H259" s="892"/>
      <c r="I259" s="892"/>
      <c r="J259" s="892"/>
      <c r="L259" s="1099" t="s">
        <v>1363</v>
      </c>
      <c r="M259" s="1100"/>
      <c r="N259" s="1101" t="s">
        <v>1385</v>
      </c>
      <c r="O259" s="1102">
        <v>2</v>
      </c>
      <c r="P259" s="1102">
        <v>6</v>
      </c>
      <c r="Q259" s="1103">
        <f t="shared" si="91"/>
        <v>12</v>
      </c>
      <c r="T259" s="2131" t="s">
        <v>1386</v>
      </c>
      <c r="U259" s="2132"/>
      <c r="V259" s="2133" t="s">
        <v>1250</v>
      </c>
      <c r="W259" s="2134"/>
      <c r="X259" s="2135"/>
      <c r="Y259" s="1097">
        <v>600</v>
      </c>
      <c r="Z259" s="1098">
        <v>1</v>
      </c>
      <c r="AA259" s="1098">
        <v>1</v>
      </c>
      <c r="AB259" s="1098">
        <v>1</v>
      </c>
      <c r="AC259" s="1098">
        <v>1</v>
      </c>
      <c r="AD259" s="891"/>
      <c r="AE259" s="891"/>
    </row>
    <row r="260" spans="1:31" s="884" customFormat="1" ht="26.65" customHeight="1">
      <c r="A260" s="1104" t="s">
        <v>1301</v>
      </c>
      <c r="B260" s="1105"/>
      <c r="C260" s="1101" t="s">
        <v>1387</v>
      </c>
      <c r="D260" s="1106">
        <v>4</v>
      </c>
      <c r="E260" s="1106">
        <v>6</v>
      </c>
      <c r="F260" s="1107">
        <f t="shared" si="90"/>
        <v>24</v>
      </c>
      <c r="G260" s="892"/>
      <c r="H260" s="892"/>
      <c r="I260" s="892"/>
      <c r="J260" s="892"/>
      <c r="K260" s="892"/>
      <c r="L260" s="1099" t="s">
        <v>1363</v>
      </c>
      <c r="M260" s="1100"/>
      <c r="N260" s="1101" t="s">
        <v>1388</v>
      </c>
      <c r="O260" s="1102">
        <v>4</v>
      </c>
      <c r="P260" s="1102">
        <v>6</v>
      </c>
      <c r="Q260" s="1103">
        <f t="shared" si="91"/>
        <v>24</v>
      </c>
      <c r="T260" s="2131" t="s">
        <v>1389</v>
      </c>
      <c r="U260" s="2132"/>
      <c r="V260" s="2133" t="s">
        <v>1390</v>
      </c>
      <c r="W260" s="2134"/>
      <c r="X260" s="2135"/>
      <c r="Y260" s="1097">
        <v>600</v>
      </c>
      <c r="Z260" s="1098">
        <v>1</v>
      </c>
      <c r="AA260" s="1098">
        <v>1</v>
      </c>
      <c r="AB260" s="1098">
        <v>1</v>
      </c>
      <c r="AC260" s="1098">
        <v>1</v>
      </c>
      <c r="AD260" s="891"/>
      <c r="AE260" s="891"/>
    </row>
    <row r="261" spans="1:31" s="884" customFormat="1" ht="26.65" customHeight="1" thickBot="1">
      <c r="A261" s="1104" t="s">
        <v>1301</v>
      </c>
      <c r="B261" s="1105"/>
      <c r="C261" s="1101" t="s">
        <v>1391</v>
      </c>
      <c r="D261" s="1106">
        <v>2</v>
      </c>
      <c r="E261" s="1106">
        <v>6</v>
      </c>
      <c r="F261" s="1107">
        <f t="shared" si="90"/>
        <v>12</v>
      </c>
      <c r="G261" s="892"/>
      <c r="H261" s="892"/>
      <c r="I261" s="892"/>
      <c r="J261" s="892"/>
      <c r="K261" s="1124"/>
      <c r="L261" s="1099" t="s">
        <v>1363</v>
      </c>
      <c r="M261" s="1100"/>
      <c r="N261" s="1101" t="s">
        <v>1366</v>
      </c>
      <c r="O261" s="1102">
        <v>4</v>
      </c>
      <c r="P261" s="1102">
        <v>6</v>
      </c>
      <c r="Q261" s="1103">
        <f t="shared" si="91"/>
        <v>24</v>
      </c>
      <c r="T261" s="2131" t="s">
        <v>1392</v>
      </c>
      <c r="U261" s="2132"/>
      <c r="V261" s="2133" t="s">
        <v>1393</v>
      </c>
      <c r="W261" s="2134"/>
      <c r="X261" s="2135"/>
      <c r="Y261" s="1097">
        <v>600</v>
      </c>
      <c r="Z261" s="1098">
        <v>1</v>
      </c>
      <c r="AA261" s="1098">
        <v>1</v>
      </c>
      <c r="AB261" s="1098">
        <v>1</v>
      </c>
      <c r="AC261" s="1098">
        <v>1</v>
      </c>
      <c r="AD261" s="891"/>
      <c r="AE261" s="891"/>
    </row>
    <row r="262" spans="1:31" s="884" customFormat="1" ht="26.65" customHeight="1">
      <c r="A262" s="1104" t="s">
        <v>1301</v>
      </c>
      <c r="B262" s="1105"/>
      <c r="C262" s="1101" t="s">
        <v>1394</v>
      </c>
      <c r="D262" s="1106">
        <v>2</v>
      </c>
      <c r="E262" s="1106">
        <v>6</v>
      </c>
      <c r="F262" s="1107">
        <f t="shared" si="90"/>
        <v>12</v>
      </c>
      <c r="G262" s="892"/>
      <c r="H262" s="892"/>
      <c r="I262" s="892"/>
      <c r="J262" s="892"/>
      <c r="K262" s="892"/>
      <c r="L262" s="1099" t="s">
        <v>1363</v>
      </c>
      <c r="M262" s="1100"/>
      <c r="N262" s="1101" t="s">
        <v>1395</v>
      </c>
      <c r="O262" s="1102">
        <v>3</v>
      </c>
      <c r="P262" s="1102">
        <v>6</v>
      </c>
      <c r="Q262" s="1103">
        <f t="shared" si="91"/>
        <v>18</v>
      </c>
      <c r="T262" s="2168" t="s">
        <v>22</v>
      </c>
      <c r="U262" s="2169"/>
      <c r="V262" s="2169"/>
      <c r="W262" s="2169"/>
      <c r="X262" s="2170"/>
      <c r="Y262" s="2174"/>
      <c r="Z262" s="2174">
        <f>SUM(Z206:Z261)</f>
        <v>93</v>
      </c>
      <c r="AA262" s="2174">
        <f>SUM(AA206:AA261)</f>
        <v>93</v>
      </c>
      <c r="AB262" s="2174">
        <f>SUM(AB206:AB261)</f>
        <v>93</v>
      </c>
      <c r="AC262" s="2174">
        <f>SUM(AC206:AC261)</f>
        <v>93</v>
      </c>
      <c r="AD262" s="891"/>
      <c r="AE262" s="891"/>
    </row>
    <row r="263" spans="1:31" s="884" customFormat="1" ht="26.65" customHeight="1" thickBot="1">
      <c r="A263" s="1104" t="s">
        <v>1301</v>
      </c>
      <c r="B263" s="1105"/>
      <c r="C263" s="1101" t="s">
        <v>1396</v>
      </c>
      <c r="D263" s="1106">
        <v>2</v>
      </c>
      <c r="E263" s="1106">
        <v>6</v>
      </c>
      <c r="F263" s="1107">
        <f t="shared" si="90"/>
        <v>12</v>
      </c>
      <c r="G263" s="892"/>
      <c r="H263" s="892"/>
      <c r="I263" s="892"/>
      <c r="J263" s="892"/>
      <c r="K263" s="892"/>
      <c r="L263" s="1099" t="s">
        <v>1363</v>
      </c>
      <c r="M263" s="1100"/>
      <c r="N263" s="1101" t="s">
        <v>1397</v>
      </c>
      <c r="O263" s="1102">
        <v>2</v>
      </c>
      <c r="P263" s="1102">
        <v>6</v>
      </c>
      <c r="Q263" s="1103">
        <f t="shared" si="91"/>
        <v>12</v>
      </c>
      <c r="T263" s="2171"/>
      <c r="U263" s="2172"/>
      <c r="V263" s="2172"/>
      <c r="W263" s="2172"/>
      <c r="X263" s="2173"/>
      <c r="Y263" s="2175"/>
      <c r="Z263" s="2175"/>
      <c r="AA263" s="2175"/>
      <c r="AB263" s="2175"/>
      <c r="AC263" s="2175"/>
      <c r="AD263" s="891"/>
      <c r="AE263" s="891"/>
    </row>
    <row r="264" spans="1:31" s="884" customFormat="1" ht="26.65" customHeight="1">
      <c r="A264" s="1104" t="s">
        <v>1301</v>
      </c>
      <c r="B264" s="1105"/>
      <c r="C264" s="1101" t="s">
        <v>1398</v>
      </c>
      <c r="D264" s="1106">
        <v>3</v>
      </c>
      <c r="E264" s="1106">
        <v>6</v>
      </c>
      <c r="F264" s="1107">
        <f>D264*E264</f>
        <v>18</v>
      </c>
      <c r="G264" s="892"/>
      <c r="H264" s="892"/>
      <c r="I264" s="892"/>
      <c r="J264" s="892"/>
      <c r="K264" s="893"/>
      <c r="L264" s="1099" t="s">
        <v>1363</v>
      </c>
      <c r="M264" s="1100"/>
      <c r="N264" s="1101" t="s">
        <v>1399</v>
      </c>
      <c r="O264" s="1102">
        <v>2</v>
      </c>
      <c r="P264" s="1102">
        <v>6</v>
      </c>
      <c r="Q264" s="1103">
        <f t="shared" si="91"/>
        <v>12</v>
      </c>
      <c r="AD264" s="891"/>
      <c r="AE264" s="891"/>
    </row>
    <row r="265" spans="1:31" s="884" customFormat="1" ht="26.65" customHeight="1" thickBot="1">
      <c r="A265" s="1130" t="s">
        <v>1301</v>
      </c>
      <c r="B265" s="1131"/>
      <c r="C265" s="1132" t="s">
        <v>1400</v>
      </c>
      <c r="D265" s="1133">
        <v>1</v>
      </c>
      <c r="E265" s="1133">
        <v>6</v>
      </c>
      <c r="F265" s="1134">
        <f>D265*E265</f>
        <v>6</v>
      </c>
      <c r="G265" s="892"/>
      <c r="H265" s="892"/>
      <c r="I265" s="892"/>
      <c r="J265" s="892"/>
      <c r="K265" s="893"/>
      <c r="L265" s="1099" t="s">
        <v>1363</v>
      </c>
      <c r="M265" s="1100"/>
      <c r="N265" s="1101" t="s">
        <v>1401</v>
      </c>
      <c r="O265" s="1102">
        <v>4</v>
      </c>
      <c r="P265" s="1102">
        <v>6</v>
      </c>
      <c r="Q265" s="1103">
        <f t="shared" si="91"/>
        <v>24</v>
      </c>
      <c r="AD265" s="891"/>
      <c r="AE265" s="891"/>
    </row>
    <row r="266" spans="1:31" s="884" customFormat="1" ht="26.65" customHeight="1">
      <c r="H266" s="892"/>
      <c r="I266" s="892"/>
      <c r="J266" s="892"/>
      <c r="K266" s="893"/>
      <c r="L266" s="885" t="s">
        <v>1402</v>
      </c>
      <c r="M266" s="886"/>
      <c r="N266" s="887" t="s">
        <v>1374</v>
      </c>
      <c r="O266" s="888"/>
      <c r="P266" s="888">
        <v>6</v>
      </c>
      <c r="Q266" s="889">
        <f t="shared" si="91"/>
        <v>0</v>
      </c>
      <c r="AD266" s="891"/>
      <c r="AE266" s="891"/>
    </row>
    <row r="267" spans="1:31" s="884" customFormat="1" ht="26.65" customHeight="1">
      <c r="H267" s="892"/>
      <c r="I267" s="892"/>
      <c r="J267" s="892"/>
      <c r="K267" s="893"/>
      <c r="L267" s="885" t="s">
        <v>1376</v>
      </c>
      <c r="M267" s="886"/>
      <c r="N267" s="887">
        <v>113</v>
      </c>
      <c r="O267" s="888"/>
      <c r="P267" s="888">
        <v>6</v>
      </c>
      <c r="Q267" s="889">
        <f t="shared" si="91"/>
        <v>0</v>
      </c>
      <c r="AD267" s="891"/>
      <c r="AE267" s="891"/>
    </row>
    <row r="268" spans="1:31" s="884" customFormat="1" ht="26.65" customHeight="1">
      <c r="H268" s="892"/>
      <c r="I268" s="892"/>
      <c r="J268" s="892"/>
      <c r="L268" s="1099" t="s">
        <v>1389</v>
      </c>
      <c r="M268" s="1100"/>
      <c r="N268" s="1101" t="s">
        <v>1393</v>
      </c>
      <c r="O268" s="1102">
        <v>2</v>
      </c>
      <c r="P268" s="1102">
        <v>6</v>
      </c>
      <c r="Q268" s="1103">
        <f t="shared" si="91"/>
        <v>12</v>
      </c>
      <c r="Z268" s="867"/>
      <c r="AA268" s="867"/>
      <c r="AB268" s="867"/>
      <c r="AC268" s="867"/>
      <c r="AD268" s="891"/>
      <c r="AE268" s="891"/>
    </row>
    <row r="269" spans="1:31" s="884" customFormat="1" ht="26.65" customHeight="1" thickBot="1">
      <c r="H269" s="892"/>
      <c r="I269" s="892"/>
      <c r="J269" s="892"/>
      <c r="L269" s="1099" t="s">
        <v>1392</v>
      </c>
      <c r="M269" s="1100"/>
      <c r="N269" s="1102" t="s">
        <v>1390</v>
      </c>
      <c r="O269" s="1102">
        <v>2</v>
      </c>
      <c r="P269" s="1102">
        <v>6</v>
      </c>
      <c r="Q269" s="1103">
        <f t="shared" si="91"/>
        <v>12</v>
      </c>
      <c r="Z269" s="867"/>
      <c r="AA269" s="867"/>
      <c r="AB269" s="867"/>
      <c r="AC269" s="867"/>
      <c r="AD269" s="891"/>
      <c r="AE269" s="891"/>
    </row>
    <row r="270" spans="1:31" s="884" customFormat="1" ht="26.65" customHeight="1" thickBot="1">
      <c r="H270" s="892"/>
      <c r="I270" s="892"/>
      <c r="J270" s="892"/>
      <c r="K270" s="893"/>
      <c r="L270" s="2113" t="s">
        <v>22</v>
      </c>
      <c r="M270" s="2114"/>
      <c r="N270" s="2181"/>
      <c r="O270" s="1135">
        <f>SUM(D208:D265,O208:O269)</f>
        <v>298</v>
      </c>
      <c r="P270" s="1135"/>
      <c r="Q270" s="1136">
        <f>SUM(F208:F265,Q208:Q269)</f>
        <v>1788</v>
      </c>
      <c r="Z270" s="867"/>
      <c r="AA270" s="867"/>
      <c r="AB270" s="867"/>
      <c r="AC270" s="867"/>
      <c r="AD270" s="891"/>
      <c r="AE270" s="891"/>
    </row>
    <row r="271" spans="1:31" s="884" customFormat="1" ht="26.65" customHeight="1">
      <c r="H271" s="892"/>
      <c r="I271" s="892"/>
      <c r="J271" s="892"/>
      <c r="Z271" s="867"/>
      <c r="AA271" s="867"/>
      <c r="AB271" s="867"/>
      <c r="AC271" s="867"/>
      <c r="AD271" s="891"/>
      <c r="AE271" s="891"/>
    </row>
    <row r="272" spans="1:31" s="884" customFormat="1" ht="26.65" customHeight="1">
      <c r="H272" s="892"/>
      <c r="I272" s="892"/>
      <c r="J272" s="892"/>
      <c r="Z272" s="867"/>
      <c r="AA272" s="867"/>
      <c r="AB272" s="867"/>
      <c r="AC272" s="867"/>
      <c r="AD272" s="891"/>
      <c r="AE272" s="891"/>
    </row>
    <row r="273" spans="8:31" s="884" customFormat="1" ht="26.65" customHeight="1">
      <c r="H273" s="892"/>
      <c r="I273" s="892"/>
      <c r="J273" s="892"/>
      <c r="K273" s="893"/>
      <c r="Z273" s="867"/>
      <c r="AA273" s="867"/>
      <c r="AB273" s="867"/>
      <c r="AC273" s="867"/>
      <c r="AD273" s="891"/>
      <c r="AE273" s="891"/>
    </row>
    <row r="274" spans="8:31" s="884" customFormat="1" ht="26.65" customHeight="1">
      <c r="H274" s="892"/>
      <c r="I274" s="892"/>
      <c r="J274" s="892"/>
      <c r="K274" s="893"/>
      <c r="X274" s="890"/>
      <c r="Z274" s="867"/>
      <c r="AA274" s="867"/>
      <c r="AB274" s="867"/>
      <c r="AC274" s="867"/>
      <c r="AD274" s="891"/>
      <c r="AE274" s="891"/>
    </row>
    <row r="275" spans="8:31" s="884" customFormat="1" ht="26.65" customHeight="1">
      <c r="H275" s="892"/>
      <c r="I275" s="892"/>
      <c r="J275" s="892"/>
      <c r="K275" s="893"/>
      <c r="X275" s="890"/>
      <c r="Z275" s="867"/>
      <c r="AA275" s="867"/>
      <c r="AB275" s="867"/>
      <c r="AC275" s="867"/>
      <c r="AD275" s="891"/>
      <c r="AE275" s="891"/>
    </row>
    <row r="276" spans="8:31" s="884" customFormat="1" ht="26.65" customHeight="1">
      <c r="H276" s="892"/>
      <c r="I276" s="892"/>
      <c r="J276" s="892"/>
      <c r="K276" s="1124"/>
      <c r="X276" s="890"/>
      <c r="Z276" s="867"/>
      <c r="AA276" s="867"/>
      <c r="AB276" s="867"/>
      <c r="AC276" s="867"/>
      <c r="AD276" s="891"/>
      <c r="AE276" s="891"/>
    </row>
    <row r="277" spans="8:31" s="884" customFormat="1" ht="26.65" customHeight="1">
      <c r="H277" s="892"/>
      <c r="I277" s="892"/>
      <c r="J277" s="892"/>
      <c r="K277" s="893"/>
      <c r="V277" s="890"/>
      <c r="Y277" s="891"/>
      <c r="Z277" s="867"/>
      <c r="AA277" s="867"/>
      <c r="AB277" s="867"/>
      <c r="AC277" s="867"/>
    </row>
    <row r="278" spans="8:31" s="884" customFormat="1" ht="26.65" customHeight="1">
      <c r="H278" s="892"/>
      <c r="I278" s="892"/>
      <c r="J278" s="892"/>
      <c r="K278" s="893"/>
      <c r="V278" s="890"/>
      <c r="Y278" s="891"/>
      <c r="Z278" s="867"/>
      <c r="AA278" s="867"/>
      <c r="AB278" s="867"/>
      <c r="AC278" s="867"/>
    </row>
    <row r="279" spans="8:31" s="884" customFormat="1" ht="26.65" customHeight="1">
      <c r="H279" s="892"/>
      <c r="I279" s="892"/>
      <c r="J279" s="892"/>
      <c r="K279" s="1124"/>
      <c r="V279" s="890"/>
      <c r="Y279" s="891"/>
      <c r="Z279" s="867"/>
      <c r="AA279" s="867"/>
      <c r="AB279" s="867"/>
      <c r="AC279" s="867"/>
    </row>
    <row r="280" spans="8:31" s="884" customFormat="1" ht="26.65" customHeight="1">
      <c r="H280" s="892"/>
      <c r="I280" s="892"/>
      <c r="J280" s="892"/>
      <c r="K280" s="1124"/>
      <c r="V280" s="890"/>
      <c r="Y280" s="891"/>
      <c r="Z280" s="867"/>
      <c r="AA280" s="867"/>
      <c r="AB280" s="867"/>
      <c r="AC280" s="867"/>
    </row>
    <row r="281" spans="8:31" s="884" customFormat="1" ht="26.65" customHeight="1">
      <c r="H281" s="892"/>
      <c r="I281" s="892"/>
      <c r="J281" s="892"/>
      <c r="K281" s="892"/>
      <c r="V281" s="890"/>
      <c r="Y281" s="891"/>
      <c r="Z281" s="867"/>
      <c r="AA281" s="867"/>
      <c r="AB281" s="867"/>
      <c r="AC281" s="867"/>
    </row>
    <row r="282" spans="8:31" s="884" customFormat="1" ht="26.65" customHeight="1">
      <c r="H282" s="892"/>
      <c r="I282" s="892"/>
      <c r="J282" s="892"/>
      <c r="K282" s="892"/>
      <c r="V282" s="890"/>
      <c r="Y282" s="891"/>
      <c r="Z282" s="867"/>
      <c r="AA282" s="867"/>
      <c r="AB282" s="867"/>
      <c r="AC282" s="867"/>
    </row>
    <row r="283" spans="8:31" s="884" customFormat="1" ht="26.65" customHeight="1">
      <c r="H283" s="892"/>
      <c r="I283" s="892"/>
      <c r="J283" s="892"/>
      <c r="K283" s="892"/>
      <c r="V283" s="890"/>
      <c r="Y283" s="891"/>
      <c r="Z283" s="867"/>
      <c r="AA283" s="867"/>
      <c r="AB283" s="867"/>
      <c r="AC283" s="867"/>
    </row>
    <row r="284" spans="8:31" s="884" customFormat="1" ht="26.65" customHeight="1">
      <c r="H284" s="892"/>
      <c r="I284" s="892"/>
      <c r="J284" s="892"/>
      <c r="K284" s="892"/>
      <c r="V284" s="890"/>
      <c r="Y284" s="891"/>
      <c r="Z284" s="867"/>
      <c r="AA284" s="867"/>
      <c r="AB284" s="867"/>
      <c r="AC284" s="867"/>
    </row>
    <row r="285" spans="8:31" s="884" customFormat="1" ht="26.65" customHeight="1">
      <c r="H285" s="892"/>
      <c r="I285" s="892"/>
      <c r="J285" s="892"/>
      <c r="K285" s="892"/>
      <c r="V285" s="890"/>
      <c r="Y285" s="891"/>
      <c r="Z285" s="867"/>
      <c r="AA285" s="867"/>
      <c r="AB285" s="867"/>
      <c r="AC285" s="867"/>
    </row>
    <row r="286" spans="8:31" s="884" customFormat="1" ht="26.65" customHeight="1">
      <c r="H286" s="892"/>
      <c r="V286" s="890"/>
      <c r="Y286" s="891"/>
      <c r="Z286" s="867"/>
      <c r="AA286" s="867"/>
      <c r="AB286" s="867"/>
      <c r="AC286" s="867"/>
    </row>
    <row r="287" spans="8:31" s="884" customFormat="1" ht="26.65" customHeight="1">
      <c r="H287" s="892"/>
      <c r="V287" s="890"/>
      <c r="Y287" s="891"/>
      <c r="Z287" s="867"/>
      <c r="AA287" s="867"/>
      <c r="AB287" s="867"/>
      <c r="AC287" s="867"/>
    </row>
    <row r="288" spans="8:31" s="884" customFormat="1" ht="26.65" customHeight="1">
      <c r="H288" s="892"/>
      <c r="V288" s="890"/>
      <c r="Y288" s="891"/>
      <c r="Z288" s="867"/>
      <c r="AA288" s="867"/>
      <c r="AB288" s="867"/>
      <c r="AC288" s="867"/>
    </row>
    <row r="289" spans="8:31" s="884" customFormat="1" ht="26.65" customHeight="1">
      <c r="H289" s="892"/>
      <c r="V289" s="890"/>
      <c r="Y289" s="891"/>
      <c r="Z289" s="867"/>
      <c r="AA289" s="867"/>
      <c r="AB289" s="867"/>
      <c r="AC289" s="867"/>
    </row>
    <row r="290" spans="8:31" s="884" customFormat="1" ht="26.65" customHeight="1">
      <c r="H290" s="892"/>
      <c r="V290" s="890"/>
      <c r="Y290" s="891"/>
      <c r="Z290" s="867"/>
      <c r="AA290" s="867"/>
      <c r="AB290" s="867"/>
      <c r="AC290" s="867"/>
    </row>
    <row r="291" spans="8:31" s="884" customFormat="1" ht="26.65" customHeight="1">
      <c r="H291" s="892"/>
      <c r="V291" s="890"/>
      <c r="Y291" s="891"/>
      <c r="Z291" s="867"/>
      <c r="AA291" s="867"/>
      <c r="AB291" s="867"/>
      <c r="AC291" s="867"/>
    </row>
    <row r="292" spans="8:31" s="884" customFormat="1" ht="26.65" customHeight="1">
      <c r="H292" s="892"/>
      <c r="X292" s="890"/>
      <c r="Z292" s="867"/>
      <c r="AA292" s="867"/>
      <c r="AB292" s="867"/>
      <c r="AC292" s="867"/>
      <c r="AD292" s="891"/>
      <c r="AE292" s="891"/>
    </row>
    <row r="293" spans="8:31" s="884" customFormat="1" ht="26.65" customHeight="1">
      <c r="H293" s="892"/>
      <c r="X293" s="890"/>
      <c r="Z293" s="867"/>
      <c r="AA293" s="867"/>
      <c r="AB293" s="867"/>
      <c r="AC293" s="867"/>
      <c r="AD293" s="891"/>
      <c r="AE293" s="891"/>
    </row>
    <row r="294" spans="8:31" s="884" customFormat="1" ht="26.65" customHeight="1">
      <c r="H294" s="892"/>
      <c r="X294" s="890"/>
      <c r="Z294" s="867"/>
      <c r="AA294" s="867"/>
      <c r="AB294" s="867"/>
      <c r="AC294" s="867"/>
      <c r="AD294" s="891"/>
      <c r="AE294" s="891"/>
    </row>
    <row r="295" spans="8:31" s="884" customFormat="1" ht="26.65" customHeight="1">
      <c r="H295" s="892"/>
      <c r="X295" s="890"/>
      <c r="Z295" s="867"/>
      <c r="AA295" s="867"/>
      <c r="AB295" s="867"/>
      <c r="AC295" s="867"/>
      <c r="AD295" s="891"/>
      <c r="AE295" s="891"/>
    </row>
    <row r="296" spans="8:31" s="884" customFormat="1" ht="26.65" customHeight="1">
      <c r="H296" s="892"/>
      <c r="X296" s="890"/>
      <c r="Z296" s="867"/>
      <c r="AA296" s="867"/>
      <c r="AB296" s="867"/>
      <c r="AC296" s="867"/>
      <c r="AD296" s="891"/>
      <c r="AE296" s="891"/>
    </row>
    <row r="297" spans="8:31" s="884" customFormat="1" ht="26.65" customHeight="1">
      <c r="H297" s="892"/>
      <c r="X297" s="890"/>
      <c r="Z297" s="867"/>
      <c r="AA297" s="867"/>
      <c r="AB297" s="867"/>
      <c r="AC297" s="867"/>
      <c r="AD297" s="891"/>
      <c r="AE297" s="891"/>
    </row>
    <row r="298" spans="8:31" s="884" customFormat="1" ht="26.65" customHeight="1" thickBot="1">
      <c r="H298" s="892"/>
      <c r="X298" s="890"/>
      <c r="Z298" s="867"/>
      <c r="AA298" s="867"/>
      <c r="AB298" s="867"/>
      <c r="AC298" s="867"/>
      <c r="AD298" s="891"/>
      <c r="AE298" s="891"/>
    </row>
    <row r="299" spans="8:31" s="884" customFormat="1" ht="26.65" customHeight="1">
      <c r="H299" s="892"/>
      <c r="K299" s="1137"/>
      <c r="X299" s="890"/>
      <c r="Z299" s="867"/>
      <c r="AA299" s="867"/>
      <c r="AB299" s="867"/>
      <c r="AC299" s="867"/>
      <c r="AD299" s="891"/>
      <c r="AE299" s="891"/>
    </row>
    <row r="300" spans="8:31" s="884" customFormat="1" ht="26.65" customHeight="1">
      <c r="H300" s="892"/>
      <c r="K300" s="1065"/>
      <c r="X300" s="890"/>
      <c r="Z300" s="867"/>
      <c r="AA300" s="867"/>
      <c r="AB300" s="867"/>
      <c r="AC300" s="867"/>
      <c r="AD300" s="891"/>
      <c r="AE300" s="891"/>
    </row>
    <row r="301" spans="8:31" s="884" customFormat="1" ht="26.65" customHeight="1">
      <c r="H301" s="892"/>
      <c r="K301" s="1077"/>
      <c r="X301" s="890"/>
      <c r="Z301" s="867"/>
      <c r="AA301" s="867"/>
      <c r="AB301" s="867"/>
      <c r="AC301" s="867"/>
      <c r="AD301" s="891"/>
      <c r="AE301" s="891"/>
    </row>
    <row r="302" spans="8:31" s="884" customFormat="1" ht="26.65" customHeight="1">
      <c r="H302" s="892"/>
      <c r="K302" s="893"/>
      <c r="X302" s="890"/>
      <c r="Z302" s="867"/>
      <c r="AA302" s="867"/>
      <c r="AB302" s="867"/>
      <c r="AC302" s="867"/>
      <c r="AD302" s="891"/>
      <c r="AE302" s="891"/>
    </row>
    <row r="303" spans="8:31" s="884" customFormat="1" ht="26.65" customHeight="1">
      <c r="H303" s="892"/>
      <c r="K303" s="893"/>
      <c r="X303" s="890"/>
      <c r="Z303" s="867"/>
      <c r="AA303" s="867"/>
      <c r="AB303" s="867"/>
      <c r="AC303" s="867"/>
      <c r="AD303" s="891"/>
      <c r="AE303" s="891"/>
    </row>
    <row r="304" spans="8:31" s="884" customFormat="1" ht="26.65" customHeight="1">
      <c r="H304" s="892"/>
      <c r="K304" s="893"/>
      <c r="X304" s="890"/>
      <c r="Z304" s="867"/>
      <c r="AA304" s="867"/>
      <c r="AB304" s="867"/>
      <c r="AC304" s="867"/>
      <c r="AD304" s="891"/>
      <c r="AE304" s="891"/>
    </row>
    <row r="305" spans="8:31" s="884" customFormat="1" ht="26.65" customHeight="1">
      <c r="H305" s="892"/>
      <c r="K305" s="1124"/>
      <c r="X305" s="890"/>
      <c r="Z305" s="867"/>
      <c r="AA305" s="867"/>
      <c r="AB305" s="867"/>
      <c r="AC305" s="867"/>
      <c r="AD305" s="891"/>
      <c r="AE305" s="891"/>
    </row>
    <row r="306" spans="8:31" s="884" customFormat="1" ht="26.65" customHeight="1">
      <c r="H306" s="892"/>
      <c r="K306" s="1124"/>
      <c r="X306" s="890"/>
      <c r="Z306" s="867"/>
      <c r="AA306" s="867"/>
      <c r="AB306" s="867"/>
      <c r="AC306" s="867"/>
      <c r="AD306" s="891"/>
      <c r="AE306" s="891"/>
    </row>
    <row r="307" spans="8:31" s="884" customFormat="1" ht="26.65" customHeight="1">
      <c r="H307" s="892"/>
      <c r="K307" s="892"/>
      <c r="X307" s="890"/>
      <c r="Z307" s="867"/>
      <c r="AA307" s="867"/>
      <c r="AB307" s="867"/>
      <c r="AC307" s="867"/>
      <c r="AD307" s="891"/>
      <c r="AE307" s="891"/>
    </row>
    <row r="308" spans="8:31" s="884" customFormat="1" ht="26.65" customHeight="1">
      <c r="H308" s="892"/>
      <c r="K308" s="892"/>
      <c r="X308" s="890"/>
      <c r="Z308" s="867"/>
      <c r="AA308" s="867"/>
      <c r="AB308" s="867"/>
      <c r="AC308" s="867"/>
      <c r="AD308" s="891"/>
      <c r="AE308" s="891"/>
    </row>
    <row r="309" spans="8:31" s="884" customFormat="1" ht="26.65" customHeight="1">
      <c r="H309" s="892"/>
      <c r="K309" s="892"/>
      <c r="X309" s="890"/>
      <c r="Z309" s="867"/>
      <c r="AA309" s="867"/>
      <c r="AB309" s="867"/>
      <c r="AC309" s="867"/>
      <c r="AD309" s="891"/>
      <c r="AE309" s="891"/>
    </row>
    <row r="310" spans="8:31" s="884" customFormat="1" ht="26.65" customHeight="1">
      <c r="H310" s="892"/>
      <c r="K310" s="893"/>
      <c r="X310" s="890"/>
      <c r="Z310" s="867"/>
      <c r="AA310" s="867"/>
      <c r="AB310" s="867"/>
      <c r="AC310" s="867"/>
      <c r="AD310" s="891"/>
      <c r="AE310" s="891"/>
    </row>
    <row r="311" spans="8:31" s="884" customFormat="1" ht="26.65" customHeight="1">
      <c r="H311" s="892"/>
      <c r="K311" s="893"/>
      <c r="X311" s="890"/>
      <c r="Z311" s="867"/>
      <c r="AA311" s="867"/>
      <c r="AB311" s="867"/>
      <c r="AC311" s="867"/>
      <c r="AD311" s="891"/>
      <c r="AE311" s="891"/>
    </row>
    <row r="312" spans="8:31" s="884" customFormat="1" ht="26.65" customHeight="1">
      <c r="H312" s="892"/>
      <c r="I312" s="892"/>
      <c r="J312" s="892"/>
      <c r="K312" s="893"/>
      <c r="X312" s="890"/>
      <c r="Z312" s="867"/>
      <c r="AA312" s="867"/>
      <c r="AB312" s="867"/>
      <c r="AC312" s="867"/>
      <c r="AD312" s="891"/>
      <c r="AE312" s="891"/>
    </row>
    <row r="313" spans="8:31" s="884" customFormat="1" ht="26.65" customHeight="1">
      <c r="H313" s="892"/>
      <c r="I313" s="892"/>
      <c r="J313" s="892"/>
      <c r="K313" s="1124"/>
      <c r="X313" s="890"/>
      <c r="Z313" s="867"/>
      <c r="AA313" s="867"/>
      <c r="AB313" s="867"/>
      <c r="AC313" s="867"/>
      <c r="AD313" s="891"/>
      <c r="AE313" s="891"/>
    </row>
    <row r="314" spans="8:31" s="884" customFormat="1" ht="26.65" customHeight="1">
      <c r="H314" s="892"/>
      <c r="I314" s="892"/>
      <c r="J314" s="892"/>
      <c r="K314" s="1124"/>
      <c r="X314" s="890"/>
      <c r="Z314" s="867"/>
      <c r="AA314" s="867"/>
      <c r="AB314" s="867"/>
      <c r="AC314" s="867"/>
      <c r="AD314" s="891"/>
      <c r="AE314" s="891"/>
    </row>
    <row r="315" spans="8:31" s="884" customFormat="1" ht="26.65" customHeight="1">
      <c r="H315" s="892"/>
      <c r="I315" s="892"/>
      <c r="J315" s="892"/>
      <c r="K315" s="892"/>
      <c r="X315" s="890"/>
      <c r="Z315" s="867"/>
      <c r="AA315" s="867"/>
      <c r="AB315" s="867"/>
      <c r="AC315" s="867"/>
      <c r="AD315" s="891"/>
      <c r="AE315" s="891"/>
    </row>
    <row r="316" spans="8:31" s="884" customFormat="1" ht="26.65" customHeight="1">
      <c r="H316" s="892"/>
      <c r="I316" s="892"/>
      <c r="J316" s="892"/>
      <c r="K316" s="892"/>
      <c r="X316" s="890"/>
      <c r="Z316" s="867"/>
      <c r="AA316" s="867"/>
      <c r="AB316" s="867"/>
      <c r="AC316" s="867"/>
      <c r="AD316" s="891"/>
      <c r="AE316" s="891"/>
    </row>
    <row r="317" spans="8:31" s="884" customFormat="1" ht="26.65" customHeight="1">
      <c r="H317" s="892"/>
      <c r="I317" s="892"/>
      <c r="J317" s="892"/>
      <c r="K317" s="893"/>
      <c r="X317" s="890"/>
      <c r="Z317" s="867"/>
      <c r="AA317" s="867"/>
      <c r="AB317" s="867"/>
      <c r="AC317" s="867"/>
      <c r="AD317" s="891"/>
      <c r="AE317" s="891"/>
    </row>
    <row r="318" spans="8:31" s="884" customFormat="1" ht="26.65" customHeight="1">
      <c r="H318" s="892"/>
      <c r="I318" s="892"/>
      <c r="J318" s="892"/>
      <c r="K318" s="893"/>
      <c r="X318" s="890"/>
      <c r="Z318" s="867"/>
      <c r="AA318" s="867"/>
      <c r="AB318" s="867"/>
      <c r="AC318" s="867"/>
      <c r="AD318" s="891"/>
      <c r="AE318" s="891"/>
    </row>
    <row r="319" spans="8:31" s="884" customFormat="1" ht="26.65" customHeight="1">
      <c r="H319" s="892"/>
      <c r="I319" s="892"/>
      <c r="J319" s="892"/>
      <c r="K319" s="893"/>
      <c r="X319" s="890"/>
      <c r="Z319" s="867"/>
      <c r="AA319" s="867"/>
      <c r="AB319" s="867"/>
      <c r="AC319" s="867"/>
      <c r="AD319" s="891"/>
      <c r="AE319" s="891"/>
    </row>
    <row r="320" spans="8:31" s="884" customFormat="1" ht="26.65" customHeight="1">
      <c r="H320" s="892"/>
      <c r="I320" s="892"/>
      <c r="J320" s="892"/>
      <c r="K320" s="1124"/>
      <c r="X320" s="890"/>
      <c r="Z320" s="867"/>
      <c r="AA320" s="867"/>
      <c r="AB320" s="867"/>
      <c r="AC320" s="867"/>
      <c r="AD320" s="891"/>
      <c r="AE320" s="891"/>
    </row>
    <row r="321" spans="8:31" s="884" customFormat="1" ht="26.65" customHeight="1">
      <c r="H321" s="892"/>
      <c r="I321" s="892"/>
      <c r="J321" s="892"/>
      <c r="K321" s="1124"/>
      <c r="V321" s="890"/>
      <c r="Y321" s="891"/>
      <c r="Z321" s="867"/>
      <c r="AA321" s="867"/>
      <c r="AB321" s="867"/>
      <c r="AC321" s="867"/>
    </row>
    <row r="322" spans="8:31" s="884" customFormat="1" ht="26.65" customHeight="1">
      <c r="H322" s="892"/>
      <c r="I322" s="892"/>
      <c r="J322" s="892"/>
      <c r="K322" s="1124"/>
      <c r="X322" s="890"/>
      <c r="Z322" s="867"/>
      <c r="AA322" s="867"/>
      <c r="AB322" s="867"/>
      <c r="AC322" s="867"/>
      <c r="AD322" s="891"/>
      <c r="AE322" s="891"/>
    </row>
    <row r="323" spans="8:31" s="884" customFormat="1" ht="26.65" customHeight="1">
      <c r="H323" s="892"/>
      <c r="I323" s="892"/>
      <c r="J323" s="892"/>
      <c r="K323" s="892"/>
      <c r="X323" s="890"/>
      <c r="Z323" s="867"/>
      <c r="AA323" s="867"/>
      <c r="AB323" s="867"/>
      <c r="AC323" s="867"/>
      <c r="AD323" s="891"/>
      <c r="AE323" s="891"/>
    </row>
    <row r="324" spans="8:31" s="884" customFormat="1" ht="26.65" customHeight="1">
      <c r="H324" s="892"/>
      <c r="I324" s="892"/>
      <c r="J324" s="892"/>
      <c r="K324" s="893"/>
      <c r="X324" s="890"/>
      <c r="Z324" s="867"/>
      <c r="AA324" s="867"/>
      <c r="AB324" s="867"/>
      <c r="AC324" s="867"/>
      <c r="AD324" s="891"/>
      <c r="AE324" s="891"/>
    </row>
    <row r="325" spans="8:31" s="884" customFormat="1" ht="26.65" customHeight="1">
      <c r="H325" s="892"/>
      <c r="I325" s="892"/>
      <c r="J325" s="892"/>
      <c r="K325" s="893"/>
      <c r="X325" s="890"/>
      <c r="Z325" s="867"/>
      <c r="AA325" s="867"/>
      <c r="AB325" s="867"/>
      <c r="AC325" s="867"/>
      <c r="AD325" s="891"/>
      <c r="AE325" s="891"/>
    </row>
    <row r="326" spans="8:31" s="884" customFormat="1" ht="26.65" customHeight="1">
      <c r="H326" s="892"/>
      <c r="I326" s="892"/>
      <c r="J326" s="892"/>
      <c r="K326" s="893"/>
      <c r="X326" s="890"/>
      <c r="Z326" s="867"/>
      <c r="AA326" s="867"/>
      <c r="AB326" s="867"/>
      <c r="AC326" s="867"/>
      <c r="AD326" s="891"/>
      <c r="AE326" s="891"/>
    </row>
    <row r="327" spans="8:31" s="884" customFormat="1" ht="26.65" customHeight="1">
      <c r="H327" s="892"/>
      <c r="I327" s="892"/>
      <c r="J327" s="892"/>
      <c r="K327" s="893"/>
      <c r="X327" s="890"/>
      <c r="Z327" s="867"/>
      <c r="AA327" s="867"/>
      <c r="AB327" s="867"/>
      <c r="AC327" s="867"/>
      <c r="AD327" s="891"/>
      <c r="AE327" s="891"/>
    </row>
    <row r="328" spans="8:31" s="884" customFormat="1" ht="26.65" customHeight="1">
      <c r="H328" s="892"/>
      <c r="I328" s="892"/>
      <c r="J328" s="892"/>
      <c r="K328" s="893"/>
      <c r="X328" s="890"/>
      <c r="Z328" s="867"/>
      <c r="AA328" s="867"/>
      <c r="AB328" s="867"/>
      <c r="AC328" s="867"/>
      <c r="AD328" s="891"/>
      <c r="AE328" s="891"/>
    </row>
    <row r="329" spans="8:31" s="884" customFormat="1" ht="26.65" customHeight="1">
      <c r="H329" s="892"/>
      <c r="I329" s="892"/>
      <c r="J329" s="892"/>
      <c r="K329" s="893"/>
      <c r="X329" s="890"/>
      <c r="Z329" s="867"/>
      <c r="AA329" s="867"/>
      <c r="AB329" s="867"/>
      <c r="AC329" s="867"/>
      <c r="AD329" s="891"/>
      <c r="AE329" s="891"/>
    </row>
    <row r="330" spans="8:31" s="884" customFormat="1" ht="26.65" customHeight="1">
      <c r="H330" s="892"/>
      <c r="I330" s="892"/>
      <c r="J330" s="892"/>
      <c r="K330" s="893"/>
      <c r="X330" s="890"/>
      <c r="Z330" s="867"/>
      <c r="AA330" s="867"/>
      <c r="AB330" s="867"/>
      <c r="AC330" s="867"/>
      <c r="AD330" s="891"/>
      <c r="AE330" s="891"/>
    </row>
    <row r="331" spans="8:31" s="884" customFormat="1" ht="26.65" customHeight="1">
      <c r="H331" s="892"/>
      <c r="I331" s="1077"/>
      <c r="J331" s="1077"/>
      <c r="K331" s="1077"/>
      <c r="X331" s="890"/>
      <c r="Z331" s="867"/>
      <c r="AA331" s="867"/>
      <c r="AB331" s="867"/>
      <c r="AC331" s="867"/>
      <c r="AD331" s="891"/>
      <c r="AE331" s="891"/>
    </row>
    <row r="332" spans="8:31" s="884" customFormat="1" ht="26.65" customHeight="1">
      <c r="X332" s="890"/>
      <c r="Z332" s="867"/>
      <c r="AA332" s="867"/>
      <c r="AB332" s="867"/>
      <c r="AC332" s="867"/>
      <c r="AD332" s="891"/>
      <c r="AE332" s="891"/>
    </row>
    <row r="333" spans="8:31" s="884" customFormat="1" ht="26.65" customHeight="1">
      <c r="X333" s="890"/>
      <c r="Z333" s="867"/>
      <c r="AA333" s="867"/>
      <c r="AB333" s="867"/>
      <c r="AC333" s="867"/>
      <c r="AD333" s="891"/>
      <c r="AE333" s="891"/>
    </row>
    <row r="334" spans="8:31" s="884" customFormat="1" ht="26.65" customHeight="1">
      <c r="X334" s="890"/>
      <c r="Z334" s="867"/>
      <c r="AA334" s="867"/>
      <c r="AB334" s="867"/>
      <c r="AC334" s="867"/>
      <c r="AD334" s="891"/>
      <c r="AE334" s="891"/>
    </row>
    <row r="335" spans="8:31" s="884" customFormat="1" ht="26.65" customHeight="1">
      <c r="X335" s="890"/>
      <c r="Z335" s="867"/>
      <c r="AA335" s="867"/>
      <c r="AB335" s="867"/>
      <c r="AC335" s="867"/>
      <c r="AD335" s="891"/>
      <c r="AE335" s="891"/>
    </row>
    <row r="336" spans="8:31" s="884" customFormat="1" ht="23.25" customHeight="1">
      <c r="Y336" s="890"/>
      <c r="Z336" s="867"/>
      <c r="AA336" s="867"/>
      <c r="AB336" s="867"/>
      <c r="AC336" s="867"/>
    </row>
    <row r="337" spans="1:31" s="884" customFormat="1" ht="20.25">
      <c r="Y337" s="890"/>
      <c r="Z337" s="867"/>
      <c r="AA337" s="867"/>
      <c r="AB337" s="867"/>
      <c r="AC337" s="867"/>
    </row>
    <row r="338" spans="1:31" ht="15" customHeight="1">
      <c r="A338" s="884"/>
      <c r="B338" s="884"/>
      <c r="C338" s="884"/>
      <c r="D338" s="884"/>
      <c r="E338" s="884"/>
      <c r="F338" s="884"/>
      <c r="G338" s="884"/>
      <c r="H338" s="884"/>
      <c r="I338" s="884"/>
      <c r="J338" s="884"/>
      <c r="K338" s="884"/>
      <c r="L338" s="884"/>
      <c r="M338" s="884"/>
      <c r="N338" s="884"/>
      <c r="O338" s="884"/>
      <c r="P338" s="884"/>
      <c r="Q338" s="884"/>
      <c r="R338" s="884"/>
      <c r="S338" s="884"/>
      <c r="X338" s="1138"/>
      <c r="Y338" s="1139"/>
      <c r="AD338" s="1138"/>
      <c r="AE338" s="1138"/>
    </row>
    <row r="339" spans="1:31" ht="13.15" customHeight="1">
      <c r="A339" s="884"/>
      <c r="B339" s="884"/>
      <c r="C339" s="884"/>
      <c r="D339" s="884"/>
      <c r="E339" s="884"/>
      <c r="F339" s="884"/>
      <c r="G339" s="884"/>
      <c r="H339" s="884"/>
      <c r="I339" s="884"/>
      <c r="J339" s="884"/>
      <c r="K339" s="884"/>
      <c r="L339" s="884"/>
      <c r="M339" s="884"/>
      <c r="N339" s="884"/>
      <c r="O339" s="884"/>
      <c r="P339" s="884"/>
      <c r="Q339" s="884"/>
      <c r="R339" s="884"/>
      <c r="S339" s="884"/>
      <c r="X339" s="1138"/>
      <c r="Y339" s="1139"/>
      <c r="AD339" s="1138"/>
      <c r="AE339" s="1138"/>
    </row>
    <row r="340" spans="1:31" ht="13.15" customHeight="1">
      <c r="A340" s="884"/>
      <c r="B340" s="884"/>
      <c r="C340" s="884"/>
      <c r="D340" s="884"/>
      <c r="E340" s="884"/>
      <c r="F340" s="884"/>
      <c r="G340" s="884"/>
      <c r="H340" s="884"/>
      <c r="I340" s="884"/>
      <c r="J340" s="884"/>
      <c r="K340" s="884"/>
      <c r="L340" s="884"/>
      <c r="M340" s="884"/>
      <c r="N340" s="884"/>
      <c r="O340" s="884"/>
      <c r="P340" s="884"/>
      <c r="Q340" s="884"/>
      <c r="R340" s="884"/>
      <c r="S340" s="884"/>
      <c r="X340" s="1138"/>
      <c r="Y340" s="1139"/>
      <c r="AD340" s="1138"/>
      <c r="AE340" s="1138"/>
    </row>
    <row r="341" spans="1:31" ht="13.15" customHeight="1">
      <c r="A341" s="884"/>
      <c r="B341" s="884"/>
      <c r="C341" s="884"/>
      <c r="D341" s="884"/>
      <c r="E341" s="884"/>
      <c r="F341" s="884"/>
      <c r="G341" s="884"/>
      <c r="H341" s="884"/>
      <c r="I341" s="884"/>
      <c r="J341" s="884"/>
      <c r="K341" s="884"/>
      <c r="L341" s="884"/>
      <c r="M341" s="884"/>
      <c r="N341" s="884"/>
      <c r="O341" s="884"/>
      <c r="P341" s="884"/>
      <c r="Q341" s="884"/>
      <c r="R341" s="884"/>
      <c r="S341" s="884"/>
      <c r="X341" s="1138"/>
      <c r="Y341" s="1139"/>
      <c r="AD341" s="1138"/>
      <c r="AE341" s="1138"/>
    </row>
    <row r="342" spans="1:31" ht="13.15" customHeight="1">
      <c r="A342" s="884"/>
      <c r="B342" s="884"/>
      <c r="C342" s="884"/>
      <c r="D342" s="884"/>
      <c r="E342" s="884"/>
      <c r="F342" s="884"/>
      <c r="G342" s="884"/>
      <c r="H342" s="884"/>
      <c r="I342" s="884"/>
      <c r="J342" s="884"/>
      <c r="K342" s="884"/>
      <c r="L342" s="884"/>
      <c r="M342" s="884"/>
      <c r="N342" s="884"/>
      <c r="O342" s="884"/>
      <c r="P342" s="884"/>
      <c r="Q342" s="884"/>
      <c r="R342" s="884"/>
      <c r="S342" s="884"/>
      <c r="X342" s="1138"/>
      <c r="Y342" s="1139"/>
      <c r="AD342" s="1138"/>
      <c r="AE342" s="1138"/>
    </row>
    <row r="343" spans="1:31" ht="13.15" customHeight="1">
      <c r="A343" s="884"/>
      <c r="B343" s="884"/>
      <c r="C343" s="884"/>
      <c r="D343" s="884"/>
      <c r="E343" s="884"/>
      <c r="F343" s="884"/>
      <c r="G343" s="884"/>
      <c r="H343" s="884"/>
      <c r="I343" s="884"/>
      <c r="J343" s="884"/>
      <c r="K343" s="884"/>
      <c r="L343" s="884"/>
      <c r="M343" s="884"/>
      <c r="N343" s="884"/>
      <c r="O343" s="884"/>
      <c r="P343" s="884"/>
      <c r="Q343" s="884"/>
      <c r="R343" s="884"/>
      <c r="S343" s="884"/>
      <c r="X343" s="1138"/>
      <c r="Y343" s="1139"/>
      <c r="AD343" s="1138"/>
      <c r="AE343" s="1138"/>
    </row>
    <row r="344" spans="1:31" ht="13.15" customHeight="1">
      <c r="A344" s="884"/>
      <c r="B344" s="884"/>
      <c r="C344" s="884"/>
      <c r="D344" s="884"/>
      <c r="E344" s="884"/>
      <c r="F344" s="884"/>
      <c r="G344" s="884"/>
      <c r="H344" s="884"/>
      <c r="I344" s="884"/>
      <c r="J344" s="884"/>
      <c r="K344" s="884"/>
      <c r="L344" s="884"/>
      <c r="M344" s="884"/>
      <c r="N344" s="884"/>
      <c r="O344" s="884"/>
      <c r="P344" s="884"/>
      <c r="Q344" s="884"/>
      <c r="R344" s="884"/>
      <c r="S344" s="884"/>
      <c r="X344" s="1138"/>
      <c r="Y344" s="1139"/>
      <c r="AD344" s="1138"/>
      <c r="AE344" s="1138"/>
    </row>
    <row r="345" spans="1:31" ht="13.15" customHeight="1">
      <c r="A345" s="884"/>
      <c r="B345" s="884"/>
      <c r="C345" s="884"/>
      <c r="D345" s="884"/>
      <c r="E345" s="884"/>
      <c r="F345" s="884"/>
      <c r="G345" s="884"/>
      <c r="H345" s="884"/>
      <c r="I345" s="884"/>
      <c r="J345" s="884"/>
      <c r="K345" s="884"/>
      <c r="L345" s="884"/>
      <c r="M345" s="884"/>
      <c r="N345" s="884"/>
      <c r="O345" s="884"/>
      <c r="P345" s="884"/>
      <c r="Q345" s="884"/>
      <c r="R345" s="884"/>
      <c r="S345" s="884"/>
      <c r="X345" s="1138"/>
      <c r="Y345" s="1139"/>
      <c r="AD345" s="1138"/>
      <c r="AE345" s="1138"/>
    </row>
    <row r="346" spans="1:31" ht="20.25">
      <c r="A346" s="884"/>
      <c r="B346" s="884"/>
      <c r="C346" s="884"/>
      <c r="D346" s="884"/>
      <c r="E346" s="884"/>
      <c r="F346" s="884"/>
      <c r="G346" s="884"/>
      <c r="H346" s="884"/>
      <c r="I346" s="884"/>
      <c r="J346" s="884"/>
      <c r="K346" s="884"/>
      <c r="L346" s="884"/>
      <c r="M346" s="884"/>
      <c r="N346" s="884"/>
      <c r="O346" s="884"/>
      <c r="P346" s="884"/>
      <c r="Q346" s="884"/>
      <c r="R346" s="884"/>
      <c r="S346" s="884"/>
      <c r="X346" s="1138"/>
      <c r="Y346" s="1139"/>
      <c r="AD346" s="1138"/>
      <c r="AE346" s="1138"/>
    </row>
    <row r="347" spans="1:31" ht="20.25">
      <c r="A347" s="884"/>
      <c r="B347" s="884"/>
      <c r="C347" s="884"/>
      <c r="D347" s="884"/>
      <c r="E347" s="884"/>
      <c r="F347" s="884"/>
      <c r="G347" s="884"/>
      <c r="H347" s="884"/>
      <c r="I347" s="884"/>
      <c r="J347" s="884"/>
      <c r="K347" s="884"/>
      <c r="L347" s="884"/>
      <c r="M347" s="884"/>
      <c r="N347" s="884"/>
      <c r="O347" s="884"/>
      <c r="P347" s="884"/>
      <c r="Q347" s="884"/>
      <c r="R347" s="884"/>
      <c r="S347" s="884"/>
      <c r="X347" s="1138"/>
      <c r="Y347" s="1139"/>
      <c r="AD347" s="1138"/>
      <c r="AE347" s="1138"/>
    </row>
    <row r="348" spans="1:31" ht="20.25">
      <c r="A348" s="884"/>
      <c r="B348" s="884"/>
      <c r="C348" s="884"/>
      <c r="D348" s="884"/>
      <c r="E348" s="884"/>
      <c r="F348" s="884"/>
      <c r="G348" s="884"/>
      <c r="H348" s="884"/>
      <c r="I348" s="884"/>
      <c r="J348" s="884"/>
      <c r="K348" s="884"/>
      <c r="L348" s="884"/>
      <c r="M348" s="884"/>
      <c r="N348" s="884"/>
      <c r="O348" s="884"/>
      <c r="P348" s="884"/>
      <c r="Q348" s="884"/>
      <c r="R348" s="884"/>
      <c r="S348" s="884"/>
      <c r="X348" s="1138"/>
      <c r="Y348" s="1139"/>
      <c r="AD348" s="1138"/>
      <c r="AE348" s="1138"/>
    </row>
    <row r="349" spans="1:31" ht="20.25">
      <c r="A349" s="884"/>
      <c r="B349" s="884"/>
      <c r="C349" s="884"/>
      <c r="D349" s="884"/>
      <c r="E349" s="884"/>
      <c r="F349" s="884"/>
      <c r="G349" s="884"/>
      <c r="H349" s="884"/>
      <c r="I349" s="884"/>
      <c r="J349" s="884"/>
      <c r="K349" s="884"/>
      <c r="L349" s="884"/>
      <c r="M349" s="884"/>
      <c r="N349" s="884"/>
      <c r="O349" s="884"/>
      <c r="P349" s="884"/>
      <c r="Q349" s="884"/>
      <c r="R349" s="884"/>
      <c r="S349" s="884"/>
      <c r="X349" s="1138"/>
      <c r="Y349" s="1139"/>
      <c r="AD349" s="1138"/>
      <c r="AE349" s="1138"/>
    </row>
    <row r="350" spans="1:31" ht="20.25">
      <c r="A350" s="884"/>
      <c r="B350" s="884"/>
      <c r="C350" s="884"/>
      <c r="D350" s="884"/>
      <c r="E350" s="884"/>
      <c r="F350" s="884"/>
      <c r="G350" s="884"/>
      <c r="H350" s="884"/>
      <c r="I350" s="884"/>
      <c r="J350" s="884"/>
      <c r="K350" s="884"/>
      <c r="L350" s="884"/>
      <c r="M350" s="884"/>
      <c r="N350" s="884"/>
      <c r="O350" s="884"/>
      <c r="P350" s="884"/>
      <c r="Q350" s="884"/>
      <c r="R350" s="884"/>
      <c r="S350" s="884"/>
      <c r="X350" s="1138"/>
      <c r="Y350" s="1139"/>
      <c r="AD350" s="1138"/>
      <c r="AE350" s="1138"/>
    </row>
    <row r="351" spans="1:31" ht="13.15" customHeight="1">
      <c r="A351" s="884"/>
      <c r="B351" s="884"/>
      <c r="C351" s="884"/>
      <c r="D351" s="884"/>
      <c r="E351" s="884"/>
      <c r="F351" s="884"/>
      <c r="G351" s="884"/>
      <c r="H351" s="884"/>
      <c r="I351" s="884"/>
      <c r="J351" s="884"/>
      <c r="K351" s="884"/>
      <c r="L351" s="884"/>
      <c r="M351" s="884"/>
      <c r="N351" s="884"/>
      <c r="O351" s="884"/>
      <c r="P351" s="884"/>
      <c r="Q351" s="884"/>
      <c r="R351" s="884"/>
      <c r="S351" s="884"/>
      <c r="X351" s="1138"/>
      <c r="Y351" s="1139"/>
      <c r="AD351" s="1138"/>
      <c r="AE351" s="1138"/>
    </row>
    <row r="352" spans="1:31" ht="13.15" customHeight="1">
      <c r="A352" s="884"/>
      <c r="B352" s="884"/>
      <c r="C352" s="884"/>
      <c r="D352" s="884"/>
      <c r="E352" s="884"/>
      <c r="F352" s="884"/>
      <c r="G352" s="884"/>
      <c r="H352" s="884"/>
      <c r="I352" s="884"/>
      <c r="J352" s="884"/>
      <c r="K352" s="884"/>
      <c r="L352" s="884"/>
      <c r="M352" s="884"/>
      <c r="N352" s="884"/>
      <c r="O352" s="884"/>
      <c r="P352" s="884"/>
      <c r="Q352" s="884"/>
      <c r="R352" s="884"/>
      <c r="S352" s="884"/>
      <c r="X352" s="1138"/>
      <c r="Y352" s="1139"/>
      <c r="AD352" s="1138"/>
      <c r="AE352" s="1138"/>
    </row>
    <row r="353" spans="1:31" ht="20.25">
      <c r="A353" s="884"/>
      <c r="B353" s="884"/>
      <c r="C353" s="884"/>
      <c r="D353" s="884"/>
      <c r="E353" s="884"/>
      <c r="F353" s="884"/>
      <c r="G353" s="884"/>
      <c r="H353" s="884"/>
      <c r="I353" s="884"/>
      <c r="J353" s="884"/>
      <c r="K353" s="884"/>
      <c r="L353" s="884"/>
      <c r="M353" s="884"/>
      <c r="N353" s="884"/>
      <c r="O353" s="884"/>
      <c r="P353" s="884"/>
      <c r="Q353" s="884"/>
      <c r="R353" s="884"/>
      <c r="S353" s="884"/>
      <c r="X353" s="1138"/>
      <c r="Y353" s="1139"/>
      <c r="AD353" s="1138"/>
      <c r="AE353" s="1138"/>
    </row>
    <row r="354" spans="1:31" ht="20.25">
      <c r="A354" s="884"/>
      <c r="B354" s="884"/>
      <c r="C354" s="884"/>
      <c r="D354" s="884"/>
      <c r="E354" s="884"/>
      <c r="F354" s="884"/>
      <c r="G354" s="884"/>
      <c r="H354" s="884"/>
      <c r="I354" s="884"/>
      <c r="J354" s="884"/>
      <c r="K354" s="884"/>
      <c r="L354" s="884"/>
      <c r="M354" s="884"/>
      <c r="N354" s="884"/>
      <c r="O354" s="884"/>
      <c r="P354" s="884"/>
      <c r="Q354" s="884"/>
      <c r="R354" s="884"/>
      <c r="S354" s="884"/>
      <c r="X354" s="1138"/>
      <c r="Y354" s="1139"/>
      <c r="AD354" s="1138"/>
      <c r="AE354" s="1138"/>
    </row>
    <row r="355" spans="1:31" ht="20.25">
      <c r="A355" s="884"/>
      <c r="B355" s="884"/>
      <c r="C355" s="884"/>
      <c r="D355" s="884"/>
      <c r="E355" s="884"/>
      <c r="F355" s="884"/>
      <c r="G355" s="884"/>
      <c r="H355" s="884"/>
      <c r="I355" s="884"/>
      <c r="J355" s="884"/>
      <c r="K355" s="884"/>
      <c r="L355" s="884"/>
      <c r="M355" s="884"/>
      <c r="N355" s="884"/>
      <c r="O355" s="884"/>
      <c r="P355" s="884"/>
      <c r="Q355" s="884"/>
      <c r="R355" s="884"/>
      <c r="S355" s="884"/>
      <c r="X355" s="1138"/>
      <c r="Y355" s="1139"/>
      <c r="AD355" s="1138"/>
      <c r="AE355" s="1138"/>
    </row>
    <row r="356" spans="1:31" ht="20.25">
      <c r="A356" s="884"/>
      <c r="B356" s="884"/>
      <c r="C356" s="884"/>
      <c r="D356" s="884"/>
      <c r="E356" s="884"/>
      <c r="F356" s="884"/>
      <c r="G356" s="884"/>
      <c r="H356" s="884"/>
      <c r="I356" s="884"/>
      <c r="J356" s="884"/>
      <c r="K356" s="884"/>
      <c r="L356" s="884"/>
      <c r="M356" s="884"/>
      <c r="N356" s="884"/>
      <c r="O356" s="884"/>
      <c r="P356" s="884"/>
      <c r="Q356" s="884"/>
      <c r="R356" s="884"/>
      <c r="S356" s="884"/>
      <c r="X356" s="1138"/>
      <c r="Y356" s="1139"/>
      <c r="AD356" s="1138"/>
      <c r="AE356" s="1138"/>
    </row>
    <row r="357" spans="1:31" ht="20.25">
      <c r="A357" s="884"/>
      <c r="B357" s="884"/>
      <c r="C357" s="884"/>
      <c r="D357" s="884"/>
      <c r="E357" s="884"/>
      <c r="F357" s="884"/>
      <c r="G357" s="884"/>
      <c r="H357" s="884"/>
      <c r="I357" s="884"/>
      <c r="J357" s="884"/>
      <c r="K357" s="884"/>
      <c r="L357" s="884"/>
      <c r="M357" s="884"/>
      <c r="N357" s="884"/>
      <c r="O357" s="884"/>
      <c r="P357" s="884"/>
      <c r="Q357" s="884"/>
      <c r="R357" s="884"/>
      <c r="S357" s="884"/>
      <c r="X357" s="1138"/>
      <c r="Y357" s="1139"/>
      <c r="AD357" s="1138"/>
      <c r="AE357" s="1138"/>
    </row>
    <row r="358" spans="1:31" ht="20.25">
      <c r="A358" s="884"/>
      <c r="B358" s="884"/>
      <c r="C358" s="884"/>
      <c r="D358" s="884"/>
      <c r="E358" s="884"/>
      <c r="F358" s="884"/>
      <c r="G358" s="884"/>
      <c r="H358" s="884"/>
      <c r="I358" s="884"/>
      <c r="J358" s="884"/>
      <c r="K358" s="884"/>
      <c r="L358" s="884"/>
      <c r="M358" s="884"/>
      <c r="N358" s="884"/>
      <c r="O358" s="884"/>
      <c r="P358" s="884"/>
      <c r="Q358" s="884"/>
      <c r="R358" s="884"/>
      <c r="S358" s="884"/>
      <c r="X358" s="1138"/>
      <c r="Y358" s="1139"/>
      <c r="AD358" s="1138"/>
      <c r="AE358" s="1138"/>
    </row>
    <row r="359" spans="1:31" ht="20.25">
      <c r="A359" s="884"/>
      <c r="B359" s="884"/>
      <c r="C359" s="884"/>
      <c r="D359" s="884"/>
      <c r="E359" s="884"/>
      <c r="F359" s="884"/>
      <c r="G359" s="884"/>
      <c r="H359" s="884"/>
      <c r="I359" s="884"/>
      <c r="J359" s="884"/>
      <c r="K359" s="884"/>
      <c r="L359" s="884"/>
      <c r="M359" s="884"/>
      <c r="N359" s="884"/>
      <c r="O359" s="884"/>
      <c r="P359" s="884"/>
      <c r="Q359" s="884"/>
      <c r="R359" s="884"/>
      <c r="S359" s="884"/>
      <c r="X359" s="1138"/>
      <c r="Y359" s="1139"/>
      <c r="AD359" s="1138"/>
      <c r="AE359" s="1138"/>
    </row>
    <row r="360" spans="1:31" ht="20.25">
      <c r="A360" s="884"/>
      <c r="B360" s="884"/>
      <c r="C360" s="884"/>
      <c r="D360" s="884"/>
      <c r="E360" s="884"/>
      <c r="F360" s="884"/>
      <c r="G360" s="884"/>
      <c r="H360" s="884"/>
      <c r="I360" s="884"/>
      <c r="J360" s="884"/>
      <c r="K360" s="884"/>
      <c r="L360" s="884"/>
      <c r="M360" s="884"/>
      <c r="N360" s="884"/>
      <c r="O360" s="884"/>
      <c r="P360" s="884"/>
      <c r="Q360" s="884"/>
      <c r="R360" s="884"/>
      <c r="X360" s="1138"/>
      <c r="Y360" s="1139"/>
      <c r="AD360" s="1138"/>
      <c r="AE360" s="1138"/>
    </row>
    <row r="361" spans="1:31" ht="20.25">
      <c r="A361" s="884"/>
      <c r="B361" s="884"/>
      <c r="C361" s="884"/>
      <c r="D361" s="884"/>
      <c r="E361" s="884"/>
      <c r="F361" s="884"/>
      <c r="G361" s="884"/>
      <c r="H361" s="884"/>
      <c r="I361" s="884"/>
      <c r="J361" s="884"/>
      <c r="K361" s="884"/>
      <c r="L361" s="884"/>
      <c r="M361" s="884"/>
      <c r="N361" s="884"/>
      <c r="O361" s="884"/>
      <c r="P361" s="884"/>
      <c r="Q361" s="884"/>
      <c r="R361" s="884"/>
      <c r="X361" s="1138"/>
      <c r="Y361" s="1139"/>
      <c r="AD361" s="1138"/>
      <c r="AE361" s="1138"/>
    </row>
    <row r="362" spans="1:31" ht="20.25">
      <c r="A362" s="884"/>
      <c r="B362" s="884"/>
      <c r="C362" s="884"/>
      <c r="D362" s="884"/>
      <c r="E362" s="884"/>
      <c r="F362" s="884"/>
      <c r="G362" s="884"/>
      <c r="H362" s="884"/>
      <c r="I362" s="884"/>
      <c r="J362" s="884"/>
      <c r="K362" s="884"/>
      <c r="L362" s="884"/>
      <c r="M362" s="884"/>
      <c r="N362" s="884"/>
      <c r="O362" s="884"/>
      <c r="P362" s="884"/>
      <c r="Q362" s="884"/>
      <c r="R362" s="884"/>
      <c r="X362" s="1138"/>
      <c r="Y362" s="1139"/>
      <c r="AD362" s="1138"/>
      <c r="AE362" s="1138"/>
    </row>
    <row r="363" spans="1:31" ht="20.25">
      <c r="A363" s="884"/>
      <c r="B363" s="884"/>
      <c r="C363" s="884"/>
      <c r="D363" s="884"/>
      <c r="E363" s="884"/>
      <c r="F363" s="884"/>
      <c r="G363" s="884"/>
      <c r="H363" s="884"/>
      <c r="I363" s="884"/>
      <c r="J363" s="884"/>
      <c r="K363" s="884"/>
      <c r="L363" s="884"/>
      <c r="M363" s="884"/>
      <c r="N363" s="884"/>
      <c r="O363" s="884"/>
      <c r="P363" s="884"/>
      <c r="Q363" s="884"/>
      <c r="R363" s="884"/>
      <c r="X363" s="1138"/>
      <c r="Y363" s="1139"/>
      <c r="AD363" s="1138"/>
      <c r="AE363" s="1138"/>
    </row>
    <row r="364" spans="1:31" ht="20.25">
      <c r="A364" s="884"/>
      <c r="B364" s="884"/>
      <c r="C364" s="884"/>
      <c r="D364" s="884"/>
      <c r="E364" s="884"/>
      <c r="F364" s="884"/>
      <c r="G364" s="884"/>
      <c r="H364" s="884"/>
      <c r="I364" s="884"/>
      <c r="J364" s="884"/>
      <c r="K364" s="884"/>
      <c r="L364" s="884"/>
      <c r="M364" s="884"/>
      <c r="N364" s="884"/>
      <c r="O364" s="884"/>
      <c r="P364" s="884"/>
      <c r="Q364" s="884"/>
      <c r="R364" s="884"/>
      <c r="X364" s="1138"/>
      <c r="Y364" s="1139"/>
      <c r="AD364" s="1138"/>
      <c r="AE364" s="1138"/>
    </row>
    <row r="365" spans="1:31" ht="20.25">
      <c r="A365" s="884"/>
      <c r="B365" s="884"/>
      <c r="C365" s="884"/>
      <c r="D365" s="884"/>
      <c r="E365" s="884"/>
      <c r="F365" s="884"/>
      <c r="G365" s="884"/>
      <c r="H365" s="884"/>
      <c r="I365" s="884"/>
      <c r="J365" s="884"/>
      <c r="K365" s="884"/>
      <c r="L365" s="884"/>
      <c r="M365" s="884"/>
      <c r="N365" s="884"/>
      <c r="O365" s="884"/>
      <c r="P365" s="884"/>
      <c r="Q365" s="884"/>
      <c r="R365" s="884"/>
      <c r="X365" s="1138"/>
      <c r="Y365" s="1139"/>
      <c r="AD365" s="1138"/>
      <c r="AE365" s="1138"/>
    </row>
    <row r="366" spans="1:31" ht="20.25">
      <c r="A366" s="884"/>
      <c r="B366" s="884"/>
      <c r="C366" s="884"/>
      <c r="D366" s="884"/>
      <c r="E366" s="884"/>
      <c r="F366" s="884"/>
      <c r="G366" s="884"/>
      <c r="H366" s="884"/>
      <c r="I366" s="884"/>
      <c r="J366" s="884"/>
      <c r="K366" s="884"/>
      <c r="L366" s="884"/>
      <c r="M366" s="884"/>
      <c r="N366" s="884"/>
      <c r="O366" s="884"/>
      <c r="P366" s="884"/>
      <c r="Q366" s="884"/>
      <c r="R366" s="884"/>
      <c r="X366" s="1138"/>
      <c r="Y366" s="1139"/>
      <c r="AD366" s="1138"/>
      <c r="AE366" s="1138"/>
    </row>
    <row r="367" spans="1:31" ht="20.25">
      <c r="A367" s="884"/>
      <c r="B367" s="884"/>
      <c r="C367" s="884"/>
      <c r="D367" s="884"/>
      <c r="E367" s="884"/>
      <c r="F367" s="884"/>
      <c r="G367" s="884"/>
      <c r="H367" s="884"/>
      <c r="I367" s="884"/>
      <c r="J367" s="884"/>
      <c r="K367" s="884"/>
      <c r="L367" s="884"/>
      <c r="M367" s="884"/>
      <c r="N367" s="884"/>
      <c r="O367" s="884"/>
      <c r="P367" s="884"/>
      <c r="Q367" s="884"/>
      <c r="R367" s="884"/>
      <c r="X367" s="1138"/>
      <c r="Y367" s="1139"/>
      <c r="AD367" s="1138"/>
      <c r="AE367" s="1138"/>
    </row>
    <row r="368" spans="1:31" ht="20.25">
      <c r="A368" s="884"/>
      <c r="B368" s="884"/>
      <c r="C368" s="884"/>
      <c r="D368" s="884"/>
      <c r="E368" s="884"/>
      <c r="F368" s="884"/>
      <c r="G368" s="884"/>
      <c r="H368" s="884"/>
      <c r="I368" s="884"/>
      <c r="J368" s="884"/>
      <c r="K368" s="884"/>
      <c r="L368" s="884"/>
      <c r="M368" s="884"/>
      <c r="N368" s="884"/>
      <c r="O368" s="884"/>
      <c r="P368" s="884"/>
      <c r="Q368" s="884"/>
      <c r="R368" s="884"/>
      <c r="X368" s="1138"/>
      <c r="Y368" s="1139"/>
      <c r="AD368" s="1138"/>
      <c r="AE368" s="1138"/>
    </row>
    <row r="369" spans="1:31" ht="20.25">
      <c r="A369" s="884"/>
      <c r="B369" s="884"/>
      <c r="C369" s="884"/>
      <c r="D369" s="884"/>
      <c r="E369" s="884"/>
      <c r="F369" s="884"/>
      <c r="G369" s="884"/>
      <c r="H369" s="884"/>
      <c r="I369" s="884"/>
      <c r="J369" s="884"/>
      <c r="K369" s="884"/>
      <c r="L369" s="884"/>
      <c r="M369" s="884"/>
      <c r="N369" s="884"/>
      <c r="O369" s="884"/>
      <c r="P369" s="884"/>
      <c r="Q369" s="884"/>
      <c r="R369" s="884"/>
      <c r="X369" s="1138"/>
      <c r="Y369" s="1139"/>
      <c r="AD369" s="1138"/>
      <c r="AE369" s="1138"/>
    </row>
    <row r="370" spans="1:31">
      <c r="X370" s="1138"/>
      <c r="Y370" s="1139"/>
      <c r="AD370" s="1138"/>
      <c r="AE370" s="1138"/>
    </row>
    <row r="371" spans="1:31">
      <c r="X371" s="1138"/>
      <c r="Y371" s="1139"/>
      <c r="AD371" s="1138"/>
      <c r="AE371" s="1138"/>
    </row>
    <row r="372" spans="1:31">
      <c r="X372" s="1138"/>
      <c r="Y372" s="1139"/>
      <c r="AD372" s="1138"/>
      <c r="AE372" s="1138"/>
    </row>
    <row r="373" spans="1:31">
      <c r="X373" s="1138"/>
      <c r="Y373" s="1139"/>
      <c r="AD373" s="1138"/>
      <c r="AE373" s="1138"/>
    </row>
    <row r="374" spans="1:31">
      <c r="X374" s="1138"/>
      <c r="Y374" s="1139"/>
      <c r="AD374" s="1138"/>
      <c r="AE374" s="1138"/>
    </row>
    <row r="375" spans="1:31">
      <c r="X375" s="1138"/>
      <c r="Y375" s="1139"/>
      <c r="AD375" s="1138"/>
      <c r="AE375" s="1138"/>
    </row>
    <row r="376" spans="1:31">
      <c r="X376" s="1138"/>
      <c r="Y376" s="1139"/>
      <c r="AD376" s="1138"/>
      <c r="AE376" s="1138"/>
    </row>
    <row r="377" spans="1:31">
      <c r="X377" s="1138"/>
      <c r="Y377" s="1139"/>
      <c r="AD377" s="1138"/>
      <c r="AE377" s="1138"/>
    </row>
    <row r="378" spans="1:31">
      <c r="X378" s="1138"/>
      <c r="Y378" s="1139"/>
      <c r="AD378" s="1138"/>
      <c r="AE378" s="1138"/>
    </row>
    <row r="379" spans="1:31">
      <c r="X379" s="1138"/>
      <c r="Y379" s="1139"/>
      <c r="AD379" s="1138"/>
      <c r="AE379" s="1138"/>
    </row>
    <row r="380" spans="1:31">
      <c r="X380" s="1138"/>
      <c r="Y380" s="1139"/>
      <c r="AD380" s="1138"/>
      <c r="AE380" s="1138"/>
    </row>
    <row r="381" spans="1:31">
      <c r="X381" s="1138"/>
      <c r="Y381" s="1139"/>
      <c r="AD381" s="1138"/>
      <c r="AE381" s="1138"/>
    </row>
    <row r="382" spans="1:31">
      <c r="X382" s="1138"/>
      <c r="Y382" s="1139"/>
      <c r="AD382" s="1138"/>
      <c r="AE382" s="1138"/>
    </row>
    <row r="383" spans="1:31">
      <c r="X383" s="1138"/>
      <c r="Y383" s="1139"/>
      <c r="AD383" s="1138"/>
      <c r="AE383" s="1138"/>
    </row>
    <row r="384" spans="1:31">
      <c r="X384" s="1138"/>
      <c r="Y384" s="1139"/>
      <c r="AD384" s="1138"/>
      <c r="AE384" s="1138"/>
    </row>
    <row r="385" spans="24:31">
      <c r="X385" s="1138"/>
      <c r="Y385" s="1139"/>
      <c r="AD385" s="1138"/>
      <c r="AE385" s="1138"/>
    </row>
    <row r="386" spans="24:31">
      <c r="X386" s="1138"/>
      <c r="Y386" s="1139"/>
      <c r="AD386" s="1138"/>
      <c r="AE386" s="1138"/>
    </row>
    <row r="387" spans="24:31">
      <c r="X387" s="1138"/>
      <c r="Y387" s="1139"/>
      <c r="AD387" s="1138"/>
      <c r="AE387" s="1138"/>
    </row>
    <row r="388" spans="24:31">
      <c r="X388" s="1138"/>
      <c r="Y388" s="1139"/>
      <c r="AD388" s="1138"/>
      <c r="AE388" s="1138"/>
    </row>
    <row r="389" spans="24:31">
      <c r="X389" s="1138"/>
      <c r="Y389" s="1139"/>
      <c r="AD389" s="1138"/>
      <c r="AE389" s="1138"/>
    </row>
    <row r="390" spans="24:31">
      <c r="X390" s="1138"/>
      <c r="Y390" s="1139"/>
      <c r="AD390" s="1138"/>
      <c r="AE390" s="1138"/>
    </row>
    <row r="391" spans="24:31">
      <c r="X391" s="1138"/>
      <c r="Y391" s="1139"/>
      <c r="AD391" s="1138"/>
      <c r="AE391" s="1138"/>
    </row>
    <row r="392" spans="24:31">
      <c r="X392" s="1138"/>
      <c r="Y392" s="1139"/>
      <c r="AD392" s="1138"/>
      <c r="AE392" s="1138"/>
    </row>
    <row r="393" spans="24:31">
      <c r="X393" s="1138"/>
      <c r="Y393" s="1139"/>
      <c r="AD393" s="1138"/>
      <c r="AE393" s="1138"/>
    </row>
    <row r="394" spans="24:31">
      <c r="X394" s="1138"/>
      <c r="Y394" s="1139"/>
      <c r="AD394" s="1138"/>
      <c r="AE394" s="1138"/>
    </row>
    <row r="395" spans="24:31">
      <c r="X395" s="1138"/>
      <c r="Y395" s="1139"/>
      <c r="AD395" s="1138"/>
      <c r="AE395" s="1138"/>
    </row>
    <row r="396" spans="24:31">
      <c r="X396" s="1138"/>
      <c r="Y396" s="1139"/>
      <c r="AD396" s="1138"/>
      <c r="AE396" s="1138"/>
    </row>
    <row r="397" spans="24:31">
      <c r="X397" s="1138"/>
      <c r="Y397" s="1139"/>
      <c r="AD397" s="1138"/>
      <c r="AE397" s="1138"/>
    </row>
    <row r="398" spans="24:31">
      <c r="X398" s="1138"/>
      <c r="Y398" s="1139"/>
      <c r="AD398" s="1138"/>
      <c r="AE398" s="1138"/>
    </row>
    <row r="399" spans="24:31">
      <c r="X399" s="1138"/>
      <c r="Y399" s="1139"/>
      <c r="AD399" s="1138"/>
      <c r="AE399" s="1138"/>
    </row>
    <row r="400" spans="24:31">
      <c r="X400" s="1138"/>
      <c r="Y400" s="1139"/>
      <c r="AD400" s="1138"/>
      <c r="AE400" s="1138"/>
    </row>
    <row r="401" spans="24:31">
      <c r="X401" s="1138"/>
      <c r="Y401" s="1139"/>
      <c r="AD401" s="1138"/>
      <c r="AE401" s="1138"/>
    </row>
    <row r="402" spans="24:31">
      <c r="X402" s="1138"/>
      <c r="Y402" s="1139"/>
      <c r="AD402" s="1138"/>
      <c r="AE402" s="1138"/>
    </row>
    <row r="403" spans="24:31">
      <c r="X403" s="1138"/>
      <c r="Y403" s="1139"/>
      <c r="AD403" s="1138"/>
      <c r="AE403" s="1138"/>
    </row>
    <row r="404" spans="24:31">
      <c r="X404" s="1138"/>
      <c r="Y404" s="1139"/>
      <c r="AD404" s="1138"/>
      <c r="AE404" s="1138"/>
    </row>
    <row r="405" spans="24:31">
      <c r="X405" s="1138"/>
      <c r="Y405" s="1139"/>
      <c r="AD405" s="1138"/>
      <c r="AE405" s="1138"/>
    </row>
    <row r="406" spans="24:31">
      <c r="X406" s="1138"/>
      <c r="Y406" s="1139"/>
      <c r="AD406" s="1138"/>
      <c r="AE406" s="1138"/>
    </row>
    <row r="407" spans="24:31">
      <c r="X407" s="1138"/>
      <c r="Y407" s="1139"/>
      <c r="AD407" s="1138"/>
      <c r="AE407" s="1138"/>
    </row>
    <row r="408" spans="24:31">
      <c r="X408" s="1138"/>
      <c r="Y408" s="1139"/>
      <c r="AD408" s="1138"/>
      <c r="AE408" s="1138"/>
    </row>
    <row r="409" spans="24:31">
      <c r="X409" s="1138"/>
      <c r="Y409" s="1139"/>
      <c r="AD409" s="1138"/>
      <c r="AE409" s="1138"/>
    </row>
    <row r="410" spans="24:31">
      <c r="X410" s="1138"/>
      <c r="Y410" s="1139"/>
      <c r="AD410" s="1138"/>
      <c r="AE410" s="1138"/>
    </row>
    <row r="411" spans="24:31">
      <c r="X411" s="1138"/>
      <c r="Y411" s="1139"/>
      <c r="AD411" s="1138"/>
      <c r="AE411" s="1138"/>
    </row>
    <row r="412" spans="24:31">
      <c r="X412" s="1138"/>
      <c r="Y412" s="1139"/>
      <c r="AD412" s="1138"/>
      <c r="AE412" s="1138"/>
    </row>
    <row r="413" spans="24:31">
      <c r="X413" s="1138"/>
      <c r="Y413" s="1139"/>
      <c r="AD413" s="1138"/>
      <c r="AE413" s="1138"/>
    </row>
    <row r="414" spans="24:31">
      <c r="X414" s="1138"/>
      <c r="Y414" s="1139"/>
      <c r="AD414" s="1138"/>
      <c r="AE414" s="1138"/>
    </row>
    <row r="415" spans="24:31">
      <c r="X415" s="1138"/>
      <c r="Y415" s="1139"/>
      <c r="AD415" s="1138"/>
      <c r="AE415" s="1138"/>
    </row>
    <row r="416" spans="24:31">
      <c r="X416" s="1138"/>
      <c r="Y416" s="1139"/>
      <c r="AD416" s="1138"/>
      <c r="AE416" s="1138"/>
    </row>
    <row r="417" spans="24:31">
      <c r="X417" s="1138"/>
      <c r="Y417" s="1139"/>
      <c r="AD417" s="1138"/>
      <c r="AE417" s="1138"/>
    </row>
    <row r="418" spans="24:31">
      <c r="X418" s="1138"/>
      <c r="Y418" s="1139"/>
      <c r="AD418" s="1138"/>
      <c r="AE418" s="1138"/>
    </row>
    <row r="419" spans="24:31">
      <c r="X419" s="1138"/>
      <c r="Y419" s="1139"/>
      <c r="AD419" s="1138"/>
      <c r="AE419" s="1138"/>
    </row>
    <row r="420" spans="24:31">
      <c r="X420" s="1138"/>
      <c r="Y420" s="1139"/>
      <c r="AD420" s="1138"/>
      <c r="AE420" s="1138"/>
    </row>
    <row r="421" spans="24:31">
      <c r="X421" s="1138"/>
      <c r="Y421" s="1139"/>
      <c r="AD421" s="1138"/>
      <c r="AE421" s="1138"/>
    </row>
    <row r="422" spans="24:31">
      <c r="X422" s="1138"/>
      <c r="Y422" s="1139"/>
      <c r="AD422" s="1138"/>
      <c r="AE422" s="1138"/>
    </row>
    <row r="423" spans="24:31">
      <c r="X423" s="1138"/>
      <c r="Y423" s="1139"/>
      <c r="AD423" s="1138"/>
      <c r="AE423" s="1138"/>
    </row>
    <row r="424" spans="24:31">
      <c r="X424" s="1138"/>
      <c r="Y424" s="1139"/>
      <c r="AD424" s="1138"/>
      <c r="AE424" s="1138"/>
    </row>
    <row r="425" spans="24:31">
      <c r="X425" s="1138"/>
      <c r="Y425" s="1139"/>
      <c r="AD425" s="1138"/>
      <c r="AE425" s="1138"/>
    </row>
    <row r="426" spans="24:31">
      <c r="X426" s="1138"/>
      <c r="Y426" s="1139"/>
      <c r="AD426" s="1138"/>
      <c r="AE426" s="1138"/>
    </row>
    <row r="427" spans="24:31">
      <c r="X427" s="1138"/>
      <c r="Y427" s="1139"/>
      <c r="AD427" s="1138"/>
      <c r="AE427" s="1138"/>
    </row>
    <row r="428" spans="24:31">
      <c r="X428" s="1138"/>
      <c r="Y428" s="1139"/>
      <c r="AD428" s="1138"/>
      <c r="AE428" s="1138"/>
    </row>
    <row r="429" spans="24:31">
      <c r="X429" s="1138"/>
      <c r="Y429" s="1139"/>
      <c r="AD429" s="1138"/>
      <c r="AE429" s="1138"/>
    </row>
    <row r="430" spans="24:31">
      <c r="X430" s="1138"/>
      <c r="Y430" s="1139"/>
      <c r="AD430" s="1138"/>
      <c r="AE430" s="1138"/>
    </row>
    <row r="431" spans="24:31">
      <c r="X431" s="1138"/>
      <c r="Y431" s="1139"/>
      <c r="AD431" s="1138"/>
      <c r="AE431" s="1138"/>
    </row>
    <row r="432" spans="24:31">
      <c r="X432" s="1138"/>
      <c r="Y432" s="1139"/>
      <c r="AD432" s="1138"/>
      <c r="AE432" s="1138"/>
    </row>
    <row r="433" spans="24:31">
      <c r="X433" s="1138"/>
      <c r="Y433" s="1139"/>
      <c r="AD433" s="1138"/>
      <c r="AE433" s="1138"/>
    </row>
    <row r="434" spans="24:31">
      <c r="X434" s="1138"/>
      <c r="Y434" s="1139"/>
      <c r="AD434" s="1138"/>
      <c r="AE434" s="1138"/>
    </row>
    <row r="435" spans="24:31">
      <c r="X435" s="1138"/>
      <c r="Y435" s="1139"/>
      <c r="AD435" s="1138"/>
      <c r="AE435" s="1138"/>
    </row>
    <row r="436" spans="24:31">
      <c r="X436" s="1138"/>
      <c r="Y436" s="1139"/>
      <c r="AD436" s="1138"/>
      <c r="AE436" s="1138"/>
    </row>
    <row r="437" spans="24:31">
      <c r="X437" s="1138"/>
      <c r="Y437" s="1139"/>
      <c r="AD437" s="1138"/>
      <c r="AE437" s="1138"/>
    </row>
    <row r="438" spans="24:31">
      <c r="X438" s="1138"/>
      <c r="Y438" s="1139"/>
      <c r="AD438" s="1138"/>
      <c r="AE438" s="1138"/>
    </row>
    <row r="439" spans="24:31">
      <c r="X439" s="1138"/>
      <c r="Y439" s="1139"/>
      <c r="AD439" s="1138"/>
      <c r="AE439" s="1138"/>
    </row>
    <row r="440" spans="24:31">
      <c r="X440" s="1138"/>
      <c r="Y440" s="1139"/>
      <c r="AD440" s="1138"/>
      <c r="AE440" s="1138"/>
    </row>
    <row r="441" spans="24:31">
      <c r="X441" s="1138"/>
      <c r="Y441" s="1139"/>
      <c r="AD441" s="1138"/>
      <c r="AE441" s="1138"/>
    </row>
    <row r="442" spans="24:31">
      <c r="X442" s="1138"/>
      <c r="Y442" s="1139"/>
      <c r="AD442" s="1138"/>
      <c r="AE442" s="1138"/>
    </row>
    <row r="443" spans="24:31">
      <c r="X443" s="1138"/>
      <c r="Y443" s="1139"/>
      <c r="AD443" s="1138"/>
      <c r="AE443" s="1138"/>
    </row>
    <row r="444" spans="24:31">
      <c r="X444" s="1138"/>
      <c r="Y444" s="1139"/>
      <c r="AD444" s="1138"/>
      <c r="AE444" s="1138"/>
    </row>
    <row r="445" spans="24:31">
      <c r="X445" s="1138"/>
      <c r="Y445" s="1139"/>
      <c r="AD445" s="1138"/>
      <c r="AE445" s="1138"/>
    </row>
    <row r="446" spans="24:31">
      <c r="X446" s="1138"/>
      <c r="Y446" s="1139"/>
      <c r="AD446" s="1138"/>
      <c r="AE446" s="1138"/>
    </row>
    <row r="447" spans="24:31">
      <c r="X447" s="1138"/>
      <c r="Y447" s="1139"/>
      <c r="AD447" s="1138"/>
      <c r="AE447" s="1138"/>
    </row>
    <row r="448" spans="24:31">
      <c r="X448" s="1138"/>
      <c r="Y448" s="1139"/>
      <c r="AD448" s="1138"/>
      <c r="AE448" s="1138"/>
    </row>
    <row r="449" spans="12:31">
      <c r="X449" s="1138"/>
      <c r="Y449" s="1139"/>
      <c r="AD449" s="1138"/>
      <c r="AE449" s="1138"/>
    </row>
    <row r="450" spans="12:31">
      <c r="X450" s="1138"/>
      <c r="Y450" s="1139"/>
      <c r="AD450" s="1138"/>
      <c r="AE450" s="1138"/>
    </row>
    <row r="451" spans="12:31">
      <c r="X451" s="1138"/>
      <c r="Y451" s="1139"/>
      <c r="AD451" s="1138"/>
      <c r="AE451" s="1138"/>
    </row>
    <row r="452" spans="12:31">
      <c r="X452" s="1138"/>
      <c r="Y452" s="1139"/>
      <c r="AD452" s="1138"/>
      <c r="AE452" s="1138"/>
    </row>
    <row r="453" spans="12:31">
      <c r="X453" s="1138"/>
      <c r="Y453" s="1139"/>
      <c r="AD453" s="1138"/>
      <c r="AE453" s="1138"/>
    </row>
    <row r="454" spans="12:31">
      <c r="X454" s="1138"/>
      <c r="Y454" s="1139"/>
      <c r="AD454" s="1138"/>
      <c r="AE454" s="1138"/>
    </row>
    <row r="455" spans="12:31">
      <c r="X455" s="1138"/>
      <c r="Y455" s="1139"/>
      <c r="AD455" s="1138"/>
      <c r="AE455" s="1138"/>
    </row>
    <row r="456" spans="12:31">
      <c r="X456" s="1138"/>
      <c r="Y456" s="1139"/>
      <c r="AD456" s="1138"/>
      <c r="AE456" s="1138"/>
    </row>
    <row r="457" spans="12:31">
      <c r="X457" s="1138"/>
      <c r="Y457" s="1139"/>
      <c r="AD457" s="1138"/>
      <c r="AE457" s="1138"/>
    </row>
    <row r="458" spans="12:31">
      <c r="X458" s="1138"/>
      <c r="Y458" s="1139"/>
      <c r="AD458" s="1138"/>
      <c r="AE458" s="1138"/>
    </row>
    <row r="459" spans="12:31">
      <c r="X459" s="1138"/>
      <c r="Y459" s="1139"/>
      <c r="AD459" s="1138"/>
      <c r="AE459" s="1138"/>
    </row>
    <row r="460" spans="12:31">
      <c r="X460" s="1138"/>
      <c r="Y460" s="1139"/>
      <c r="AD460" s="1138"/>
      <c r="AE460" s="1138"/>
    </row>
    <row r="461" spans="12:31">
      <c r="X461" s="1138"/>
      <c r="Y461" s="1139"/>
      <c r="AD461" s="1138"/>
      <c r="AE461" s="1138"/>
    </row>
    <row r="462" spans="12:31">
      <c r="X462" s="1138"/>
      <c r="Y462" s="1139"/>
      <c r="AD462" s="1138"/>
      <c r="AE462" s="1138"/>
    </row>
    <row r="463" spans="12:31" ht="15.75">
      <c r="L463" s="1141"/>
      <c r="M463" s="1141"/>
      <c r="N463" s="1142"/>
      <c r="O463" s="1142"/>
      <c r="P463" s="1142"/>
      <c r="Q463" s="1142"/>
      <c r="R463" s="1142"/>
      <c r="X463" s="1138"/>
      <c r="Y463" s="1139"/>
      <c r="AD463" s="1138"/>
      <c r="AE463" s="1138"/>
    </row>
    <row r="464" spans="12:31" ht="15.75">
      <c r="L464" s="1141"/>
      <c r="M464" s="1141"/>
      <c r="N464" s="1142"/>
      <c r="O464" s="1142"/>
      <c r="P464" s="1142"/>
      <c r="Q464" s="1142"/>
      <c r="R464" s="1142"/>
      <c r="X464" s="1138"/>
      <c r="Y464" s="1139"/>
      <c r="AD464" s="1138"/>
      <c r="AE464" s="1138"/>
    </row>
    <row r="465" spans="1:31" ht="15.75">
      <c r="L465" s="1141"/>
      <c r="M465" s="1141"/>
      <c r="N465" s="1142"/>
      <c r="O465" s="1142"/>
      <c r="P465" s="1142"/>
      <c r="Q465" s="1142"/>
      <c r="R465" s="1142"/>
      <c r="X465" s="1138"/>
      <c r="Y465" s="1139"/>
      <c r="AD465" s="1138"/>
      <c r="AE465" s="1138"/>
    </row>
    <row r="466" spans="1:31" ht="15.75">
      <c r="L466" s="1141"/>
      <c r="M466" s="1141"/>
      <c r="N466" s="1142"/>
      <c r="O466" s="1142"/>
      <c r="P466" s="1142"/>
      <c r="Q466" s="1142"/>
      <c r="R466" s="1142"/>
    </row>
    <row r="467" spans="1:31" ht="15.75">
      <c r="L467" s="1141"/>
      <c r="M467" s="1141"/>
      <c r="N467" s="1142"/>
      <c r="O467" s="1142"/>
      <c r="P467" s="1142"/>
      <c r="Q467" s="1142"/>
      <c r="R467" s="1142"/>
    </row>
    <row r="468" spans="1:31" ht="15.75">
      <c r="L468" s="1141"/>
      <c r="M468" s="1141"/>
      <c r="N468" s="1142"/>
      <c r="O468" s="1142"/>
      <c r="P468" s="1142"/>
      <c r="Q468" s="1142"/>
      <c r="R468" s="1142"/>
    </row>
    <row r="469" spans="1:31" ht="15.75">
      <c r="L469" s="1141"/>
      <c r="M469" s="1141"/>
      <c r="N469" s="1142"/>
      <c r="O469" s="1142"/>
      <c r="P469" s="1142"/>
      <c r="Q469" s="1142"/>
      <c r="R469" s="1142"/>
    </row>
    <row r="470" spans="1:31" ht="15.75">
      <c r="L470" s="1141"/>
      <c r="M470" s="1141"/>
      <c r="N470" s="1142"/>
      <c r="O470" s="1142"/>
      <c r="P470" s="1142"/>
      <c r="Q470" s="1142"/>
      <c r="R470" s="1142"/>
    </row>
    <row r="472" spans="1:31" ht="15.75">
      <c r="L472" s="2176"/>
      <c r="M472" s="2176"/>
      <c r="N472" s="2177"/>
      <c r="O472" s="2177"/>
      <c r="P472" s="2177"/>
      <c r="Q472" s="2177"/>
      <c r="R472" s="2177"/>
    </row>
    <row r="473" spans="1:31" ht="15.75">
      <c r="L473" s="2176"/>
      <c r="M473" s="2176"/>
      <c r="N473" s="2177"/>
      <c r="O473" s="2177"/>
      <c r="P473" s="2177"/>
      <c r="Q473" s="2177"/>
      <c r="R473" s="2177"/>
    </row>
    <row r="474" spans="1:31" ht="15.75">
      <c r="A474" s="1138"/>
      <c r="B474" s="1138"/>
      <c r="L474" s="2176"/>
      <c r="M474" s="2176"/>
      <c r="N474" s="2177"/>
      <c r="O474" s="2177"/>
      <c r="P474" s="2177"/>
      <c r="Q474" s="1144"/>
      <c r="R474" s="1144"/>
      <c r="X474" s="1138"/>
      <c r="Z474" s="1138"/>
      <c r="AA474" s="1138"/>
      <c r="AB474" s="1138"/>
      <c r="AC474" s="1138"/>
      <c r="AD474" s="1138"/>
      <c r="AE474" s="1138"/>
    </row>
    <row r="475" spans="1:31">
      <c r="A475" s="1138"/>
      <c r="B475" s="1138"/>
      <c r="L475" s="2178"/>
      <c r="M475" s="2178"/>
      <c r="N475" s="2178"/>
      <c r="O475" s="2178"/>
      <c r="P475" s="2178"/>
      <c r="Q475" s="2178"/>
      <c r="R475" s="2179"/>
      <c r="X475" s="1138"/>
      <c r="Z475" s="1138"/>
      <c r="AA475" s="1138"/>
      <c r="AB475" s="1138"/>
      <c r="AC475" s="1138"/>
      <c r="AD475" s="1138"/>
      <c r="AE475" s="1138"/>
    </row>
    <row r="476" spans="1:31">
      <c r="A476" s="1138"/>
      <c r="B476" s="1138"/>
      <c r="L476" s="2178"/>
      <c r="M476" s="2178"/>
      <c r="N476" s="2178"/>
      <c r="O476" s="2178"/>
      <c r="P476" s="2178"/>
      <c r="Q476" s="2178"/>
      <c r="R476" s="2179"/>
      <c r="X476" s="1138"/>
      <c r="Z476" s="1138"/>
      <c r="AA476" s="1138"/>
      <c r="AB476" s="1138"/>
      <c r="AC476" s="1138"/>
      <c r="AD476" s="1138"/>
      <c r="AE476" s="1138"/>
    </row>
    <row r="477" spans="1:31">
      <c r="A477" s="1138"/>
      <c r="B477" s="1138"/>
      <c r="L477" s="2180" t="s">
        <v>22</v>
      </c>
      <c r="M477" s="2180"/>
      <c r="N477" s="2180"/>
      <c r="O477" s="2180"/>
      <c r="P477" s="2180"/>
      <c r="Q477" s="2180"/>
      <c r="R477" s="2178"/>
      <c r="X477" s="1138"/>
      <c r="Z477" s="1138"/>
      <c r="AA477" s="1138"/>
      <c r="AB477" s="1138"/>
      <c r="AC477" s="1138"/>
      <c r="AD477" s="1138"/>
      <c r="AE477" s="1138"/>
    </row>
    <row r="478" spans="1:31">
      <c r="A478" s="1138"/>
      <c r="B478" s="1138"/>
      <c r="L478" s="2180"/>
      <c r="M478" s="2180"/>
      <c r="N478" s="2180"/>
      <c r="O478" s="2180"/>
      <c r="P478" s="2180"/>
      <c r="Q478" s="2180"/>
      <c r="R478" s="2178"/>
      <c r="X478" s="1138"/>
      <c r="Z478" s="1138"/>
      <c r="AA478" s="1138"/>
      <c r="AB478" s="1138"/>
      <c r="AC478" s="1138"/>
      <c r="AD478" s="1138"/>
      <c r="AE478" s="1138"/>
    </row>
    <row r="479" spans="1:31" ht="15.75">
      <c r="A479" s="1138"/>
      <c r="B479" s="1138"/>
      <c r="L479" s="1145"/>
      <c r="X479" s="1138"/>
      <c r="Z479" s="1138"/>
      <c r="AA479" s="1138"/>
      <c r="AB479" s="1138"/>
      <c r="AC479" s="1138"/>
      <c r="AD479" s="1138"/>
      <c r="AE479" s="1138"/>
    </row>
  </sheetData>
  <mergeCells count="270">
    <mergeCell ref="L474:M474"/>
    <mergeCell ref="N474:P474"/>
    <mergeCell ref="L475:Q476"/>
    <mergeCell ref="R475:R476"/>
    <mergeCell ref="L477:Q478"/>
    <mergeCell ref="R477:R478"/>
    <mergeCell ref="L270:N270"/>
    <mergeCell ref="L472:M472"/>
    <mergeCell ref="N472:P473"/>
    <mergeCell ref="Q472:Q473"/>
    <mergeCell ref="R472:R473"/>
    <mergeCell ref="L473:M473"/>
    <mergeCell ref="T262:X263"/>
    <mergeCell ref="Y262:Y263"/>
    <mergeCell ref="Z262:Z263"/>
    <mergeCell ref="AA262:AA263"/>
    <mergeCell ref="AB262:AB263"/>
    <mergeCell ref="AC262:AC263"/>
    <mergeCell ref="T259:U259"/>
    <mergeCell ref="V259:X259"/>
    <mergeCell ref="T260:U260"/>
    <mergeCell ref="V260:X260"/>
    <mergeCell ref="T261:U261"/>
    <mergeCell ref="V261:X261"/>
    <mergeCell ref="T256:U256"/>
    <mergeCell ref="V256:X256"/>
    <mergeCell ref="T257:U257"/>
    <mergeCell ref="V257:X257"/>
    <mergeCell ref="T258:U258"/>
    <mergeCell ref="V258:X258"/>
    <mergeCell ref="T253:U253"/>
    <mergeCell ref="V253:X253"/>
    <mergeCell ref="T254:U254"/>
    <mergeCell ref="V254:X254"/>
    <mergeCell ref="T255:U255"/>
    <mergeCell ref="V255:X255"/>
    <mergeCell ref="T250:U250"/>
    <mergeCell ref="V250:X250"/>
    <mergeCell ref="T251:U251"/>
    <mergeCell ref="V251:X251"/>
    <mergeCell ref="T252:U252"/>
    <mergeCell ref="V252:X252"/>
    <mergeCell ref="T247:U247"/>
    <mergeCell ref="V247:X247"/>
    <mergeCell ref="T248:U248"/>
    <mergeCell ref="V248:X248"/>
    <mergeCell ref="T249:U249"/>
    <mergeCell ref="V249:X249"/>
    <mergeCell ref="T244:U244"/>
    <mergeCell ref="V244:X244"/>
    <mergeCell ref="T245:U245"/>
    <mergeCell ref="V245:X245"/>
    <mergeCell ref="T246:U246"/>
    <mergeCell ref="V246:X246"/>
    <mergeCell ref="T241:U241"/>
    <mergeCell ref="V241:X241"/>
    <mergeCell ref="T242:U242"/>
    <mergeCell ref="V242:X242"/>
    <mergeCell ref="T243:U243"/>
    <mergeCell ref="V243:X243"/>
    <mergeCell ref="T238:U238"/>
    <mergeCell ref="V238:X238"/>
    <mergeCell ref="T239:U239"/>
    <mergeCell ref="V239:X239"/>
    <mergeCell ref="T240:U240"/>
    <mergeCell ref="V240:X240"/>
    <mergeCell ref="T235:U235"/>
    <mergeCell ref="V235:X235"/>
    <mergeCell ref="T236:U236"/>
    <mergeCell ref="V236:X236"/>
    <mergeCell ref="T237:U237"/>
    <mergeCell ref="V237:X237"/>
    <mergeCell ref="T232:U232"/>
    <mergeCell ref="V232:X232"/>
    <mergeCell ref="T233:U233"/>
    <mergeCell ref="V233:X233"/>
    <mergeCell ref="T234:U234"/>
    <mergeCell ref="V234:X234"/>
    <mergeCell ref="T229:U229"/>
    <mergeCell ref="V229:X229"/>
    <mergeCell ref="T230:U230"/>
    <mergeCell ref="V230:X230"/>
    <mergeCell ref="T231:U231"/>
    <mergeCell ref="V231:X231"/>
    <mergeCell ref="T226:U226"/>
    <mergeCell ref="V226:X226"/>
    <mergeCell ref="T227:U227"/>
    <mergeCell ref="V227:X227"/>
    <mergeCell ref="T228:U228"/>
    <mergeCell ref="V228:X228"/>
    <mergeCell ref="T223:U223"/>
    <mergeCell ref="V223:X223"/>
    <mergeCell ref="T224:U224"/>
    <mergeCell ref="V224:X224"/>
    <mergeCell ref="T225:U225"/>
    <mergeCell ref="V225:X225"/>
    <mergeCell ref="T219:U219"/>
    <mergeCell ref="V219:X219"/>
    <mergeCell ref="T220:U220"/>
    <mergeCell ref="V220:X220"/>
    <mergeCell ref="T221:U221"/>
    <mergeCell ref="V221:X221"/>
    <mergeCell ref="T216:U216"/>
    <mergeCell ref="V216:X216"/>
    <mergeCell ref="T217:U217"/>
    <mergeCell ref="V217:X217"/>
    <mergeCell ref="T218:U218"/>
    <mergeCell ref="V218:X218"/>
    <mergeCell ref="T213:U213"/>
    <mergeCell ref="V213:X213"/>
    <mergeCell ref="T214:U214"/>
    <mergeCell ref="V214:X214"/>
    <mergeCell ref="T215:U215"/>
    <mergeCell ref="V215:X215"/>
    <mergeCell ref="T210:U210"/>
    <mergeCell ref="V210:X210"/>
    <mergeCell ref="T211:U211"/>
    <mergeCell ref="V211:X211"/>
    <mergeCell ref="T212:U212"/>
    <mergeCell ref="V212:X212"/>
    <mergeCell ref="T207:U207"/>
    <mergeCell ref="V207:X207"/>
    <mergeCell ref="T208:U208"/>
    <mergeCell ref="V208:X208"/>
    <mergeCell ref="T209:U209"/>
    <mergeCell ref="V209:X209"/>
    <mergeCell ref="AB204:AB205"/>
    <mergeCell ref="AC204:AC205"/>
    <mergeCell ref="A206:B207"/>
    <mergeCell ref="C206:C207"/>
    <mergeCell ref="D206:F206"/>
    <mergeCell ref="L206:M207"/>
    <mergeCell ref="N206:N207"/>
    <mergeCell ref="O206:Q206"/>
    <mergeCell ref="T206:U206"/>
    <mergeCell ref="V206:X206"/>
    <mergeCell ref="A203:R204"/>
    <mergeCell ref="T204:U205"/>
    <mergeCell ref="V204:X205"/>
    <mergeCell ref="Y204:Y205"/>
    <mergeCell ref="Z204:Z205"/>
    <mergeCell ref="AA204:AA205"/>
    <mergeCell ref="T192:V193"/>
    <mergeCell ref="A194:D200"/>
    <mergeCell ref="T195:Z195"/>
    <mergeCell ref="U197:Y197"/>
    <mergeCell ref="U198:U199"/>
    <mergeCell ref="V198:V199"/>
    <mergeCell ref="W198:W199"/>
    <mergeCell ref="X198:X199"/>
    <mergeCell ref="Y198:Y199"/>
    <mergeCell ref="G200:H200"/>
    <mergeCell ref="A185:D191"/>
    <mergeCell ref="Z185:AE185"/>
    <mergeCell ref="L186:O191"/>
    <mergeCell ref="Z187:AE187"/>
    <mergeCell ref="Z188:AE188"/>
    <mergeCell ref="S189:T189"/>
    <mergeCell ref="Z190:AE190"/>
    <mergeCell ref="Z180:AE180"/>
    <mergeCell ref="U181:U182"/>
    <mergeCell ref="V181:V182"/>
    <mergeCell ref="Z181:AE181"/>
    <mergeCell ref="Z182:AE182"/>
    <mergeCell ref="T183:T184"/>
    <mergeCell ref="U183:U184"/>
    <mergeCell ref="V183:V184"/>
    <mergeCell ref="Z184:AE184"/>
    <mergeCell ref="A175:B175"/>
    <mergeCell ref="A176:B176"/>
    <mergeCell ref="C176:D176"/>
    <mergeCell ref="A177:D177"/>
    <mergeCell ref="T179:V179"/>
    <mergeCell ref="A180:D182"/>
    <mergeCell ref="L180:O182"/>
    <mergeCell ref="T180:T182"/>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8:D8"/>
    <mergeCell ref="A106:B106"/>
    <mergeCell ref="A107:B107"/>
    <mergeCell ref="A108:B108"/>
    <mergeCell ref="V5:X5"/>
    <mergeCell ref="Y5:Y6"/>
    <mergeCell ref="Z5:Z6"/>
    <mergeCell ref="AA5:AA6"/>
    <mergeCell ref="AB5:AB6"/>
    <mergeCell ref="K5:K6"/>
    <mergeCell ref="L5:L6"/>
    <mergeCell ref="M5:Q5"/>
    <mergeCell ref="R5:S6"/>
    <mergeCell ref="T5:T6"/>
    <mergeCell ref="U5:U6"/>
    <mergeCell ref="A1:A3"/>
    <mergeCell ref="B1:AE1"/>
    <mergeCell ref="B2:AE2"/>
    <mergeCell ref="B3:AE3"/>
    <mergeCell ref="A5:B7"/>
    <mergeCell ref="C5:D6"/>
    <mergeCell ref="E5:E6"/>
    <mergeCell ref="F5:H6"/>
    <mergeCell ref="I5:I6"/>
    <mergeCell ref="J5:J6"/>
    <mergeCell ref="AD5:AE6"/>
    <mergeCell ref="N6:P6"/>
    <mergeCell ref="AC5:AC6"/>
  </mergeCells>
  <pageMargins left="0.511811024" right="0.511811024" top="0.78740157499999996" bottom="0.78740157499999996" header="0.31496062000000002" footer="0.31496062000000002"/>
  <pageSetup paperSize="8" scale="28"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44C1B-FAB6-4608-BC22-BC0ECCA10A5D}">
  <sheetPr>
    <tabColor theme="7" tint="0.39997558519241921"/>
  </sheetPr>
  <dimension ref="A1:H41"/>
  <sheetViews>
    <sheetView showGridLines="0" view="pageBreakPreview" topLeftCell="A13" zoomScaleNormal="85" zoomScaleSheetLayoutView="100" workbookViewId="0">
      <selection activeCell="E23" sqref="E23"/>
    </sheetView>
  </sheetViews>
  <sheetFormatPr defaultColWidth="9.140625" defaultRowHeight="15"/>
  <cols>
    <col min="1" max="1" width="12.42578125" style="1262" customWidth="1"/>
    <col min="2" max="2" width="43.28515625" style="1256" customWidth="1"/>
    <col min="3" max="3" width="8.42578125" style="1263" customWidth="1"/>
    <col min="4" max="4" width="12.85546875" style="1256" customWidth="1"/>
    <col min="5" max="5" width="11.85546875" style="1264" customWidth="1"/>
    <col min="6" max="6" width="17.28515625" style="1265" customWidth="1"/>
    <col min="7" max="7" width="11.85546875" style="1256" bestFit="1" customWidth="1"/>
    <col min="8" max="16384" width="9.140625" style="1256"/>
  </cols>
  <sheetData>
    <row r="1" spans="1:8" s="1251" customFormat="1">
      <c r="A1" s="2201" t="s">
        <v>18</v>
      </c>
      <c r="B1" s="2201"/>
      <c r="C1" s="2201"/>
      <c r="D1" s="2201"/>
      <c r="E1" s="2201"/>
      <c r="F1" s="2201"/>
      <c r="G1" s="1146"/>
      <c r="H1" s="1147"/>
    </row>
    <row r="2" spans="1:8" s="1251" customFormat="1">
      <c r="A2" s="1252"/>
      <c r="B2" s="2202"/>
      <c r="C2" s="2202"/>
      <c r="D2" s="2202"/>
      <c r="E2" s="2202"/>
      <c r="F2" s="2202"/>
      <c r="G2" s="1149"/>
      <c r="H2" s="1149"/>
    </row>
    <row r="3" spans="1:8" s="1251" customFormat="1">
      <c r="A3" s="1252"/>
      <c r="B3" s="2202"/>
      <c r="C3" s="2202"/>
      <c r="D3" s="2202"/>
      <c r="E3" s="2202"/>
      <c r="F3" s="2202"/>
      <c r="G3" s="1146"/>
      <c r="H3" s="1150"/>
    </row>
    <row r="4" spans="1:8" s="1251" customFormat="1">
      <c r="A4" s="2201" t="s">
        <v>185</v>
      </c>
      <c r="B4" s="2201"/>
      <c r="C4" s="2201"/>
      <c r="D4" s="2201"/>
      <c r="E4" s="2201"/>
      <c r="F4" s="2201"/>
      <c r="G4" s="1146"/>
      <c r="H4" s="1150"/>
    </row>
    <row r="5" spans="1:8" ht="15" customHeight="1">
      <c r="A5" s="1253" t="s">
        <v>943</v>
      </c>
      <c r="B5" s="1254"/>
      <c r="C5" s="1255"/>
      <c r="D5" s="1255"/>
      <c r="E5" s="1154"/>
      <c r="F5" s="1155"/>
    </row>
    <row r="6" spans="1:8" ht="15.75" customHeight="1" thickBot="1">
      <c r="A6" s="1257" t="s">
        <v>944</v>
      </c>
      <c r="B6" s="1258"/>
      <c r="C6" s="1259"/>
      <c r="D6" s="1259"/>
      <c r="E6" s="1260" t="s">
        <v>1455</v>
      </c>
      <c r="F6" s="1261"/>
    </row>
    <row r="7" spans="1:8" ht="18.75" thickBot="1">
      <c r="A7" s="2203" t="s">
        <v>1456</v>
      </c>
      <c r="B7" s="2204"/>
      <c r="C7" s="2204"/>
      <c r="D7" s="2204"/>
      <c r="E7" s="2204"/>
      <c r="F7" s="2205"/>
    </row>
    <row r="8" spans="1:8" ht="15.75" thickBot="1"/>
    <row r="9" spans="1:8" ht="15" customHeight="1" thickTop="1">
      <c r="A9" s="1266" t="s">
        <v>6</v>
      </c>
      <c r="B9" s="2206" t="s">
        <v>1652</v>
      </c>
      <c r="C9" s="2208" t="s">
        <v>1457</v>
      </c>
      <c r="D9" s="2210" t="s">
        <v>1812</v>
      </c>
      <c r="E9" s="1267" t="s">
        <v>1458</v>
      </c>
      <c r="F9" s="1196">
        <v>45413</v>
      </c>
    </row>
    <row r="10" spans="1:8">
      <c r="A10" s="1268" t="s">
        <v>1012</v>
      </c>
      <c r="B10" s="2207"/>
      <c r="C10" s="2209"/>
      <c r="D10" s="2211"/>
      <c r="E10" s="1269" t="s">
        <v>1460</v>
      </c>
      <c r="F10" s="1270" t="s">
        <v>2</v>
      </c>
    </row>
    <row r="11" spans="1:8">
      <c r="A11" s="2212" t="s">
        <v>1461</v>
      </c>
      <c r="B11" s="2214" t="s">
        <v>5</v>
      </c>
      <c r="C11" s="2214" t="s">
        <v>21</v>
      </c>
      <c r="D11" s="2214" t="s">
        <v>1462</v>
      </c>
      <c r="E11" s="2214" t="s">
        <v>24</v>
      </c>
      <c r="F11" s="2199" t="s">
        <v>787</v>
      </c>
    </row>
    <row r="12" spans="1:8" ht="15.75" thickBot="1">
      <c r="A12" s="2213"/>
      <c r="B12" s="2215"/>
      <c r="C12" s="2216"/>
      <c r="D12" s="2216"/>
      <c r="E12" s="2216"/>
      <c r="F12" s="2200"/>
    </row>
    <row r="13" spans="1:8" ht="16.5" thickTop="1" thickBot="1">
      <c r="A13" s="2182" t="s">
        <v>1463</v>
      </c>
      <c r="B13" s="2183"/>
      <c r="C13" s="2183"/>
      <c r="D13" s="2183"/>
      <c r="E13" s="2183"/>
      <c r="F13" s="2184"/>
    </row>
    <row r="14" spans="1:8" ht="15.75" thickTop="1">
      <c r="A14" s="1430" t="s">
        <v>1657</v>
      </c>
      <c r="B14" s="1272" t="s">
        <v>1654</v>
      </c>
      <c r="C14" s="1273" t="s">
        <v>504</v>
      </c>
      <c r="D14" s="1274">
        <f>2*6+1.5+1*2</f>
        <v>15.5</v>
      </c>
      <c r="E14" s="1275">
        <v>5.52</v>
      </c>
      <c r="F14" s="1276">
        <f>E14*D14</f>
        <v>85.56</v>
      </c>
    </row>
    <row r="15" spans="1:8">
      <c r="A15" s="1419" t="s">
        <v>1658</v>
      </c>
      <c r="B15" s="1278" t="s">
        <v>1655</v>
      </c>
      <c r="C15" s="1279" t="s">
        <v>504</v>
      </c>
      <c r="D15" s="1280">
        <v>4</v>
      </c>
      <c r="E15" s="1281">
        <v>18.03</v>
      </c>
      <c r="F15" s="1276">
        <f>E15*D15</f>
        <v>72.12</v>
      </c>
    </row>
    <row r="16" spans="1:8">
      <c r="A16" s="1419" t="s">
        <v>1659</v>
      </c>
      <c r="B16" s="1278" t="s">
        <v>1656</v>
      </c>
      <c r="C16" s="1279" t="s">
        <v>776</v>
      </c>
      <c r="D16" s="1280">
        <f>0.2/8*(SUM(D14:D15))</f>
        <v>0.48749999999999999</v>
      </c>
      <c r="E16" s="1281">
        <v>23.18</v>
      </c>
      <c r="F16" s="1276">
        <f>E16*D16</f>
        <v>11.3</v>
      </c>
    </row>
    <row r="17" spans="1:7">
      <c r="A17" s="1277"/>
      <c r="B17" s="1278"/>
      <c r="C17" s="1279"/>
      <c r="D17" s="1280"/>
      <c r="E17" s="1281"/>
      <c r="F17" s="1282">
        <v>0</v>
      </c>
    </row>
    <row r="18" spans="1:7">
      <c r="A18" s="1277"/>
      <c r="B18" s="1278"/>
      <c r="C18" s="1279"/>
      <c r="D18" s="1280"/>
      <c r="E18" s="1281"/>
      <c r="F18" s="1282">
        <v>0</v>
      </c>
    </row>
    <row r="19" spans="1:7">
      <c r="A19" s="1277"/>
      <c r="B19" s="1278"/>
      <c r="C19" s="1279"/>
      <c r="D19" s="1280"/>
      <c r="E19" s="1281"/>
      <c r="F19" s="1282">
        <v>0</v>
      </c>
    </row>
    <row r="20" spans="1:7" ht="15.75" thickBot="1">
      <c r="A20" s="2193" t="s">
        <v>22</v>
      </c>
      <c r="B20" s="2194"/>
      <c r="C20" s="2194"/>
      <c r="D20" s="2194"/>
      <c r="E20" s="2195"/>
      <c r="F20" s="1283">
        <f>SUM(F14:F19)</f>
        <v>168.98</v>
      </c>
    </row>
    <row r="21" spans="1:7" ht="16.5" thickTop="1" thickBot="1">
      <c r="A21" s="2182" t="s">
        <v>188</v>
      </c>
      <c r="B21" s="2183"/>
      <c r="C21" s="2183"/>
      <c r="D21" s="2183"/>
      <c r="E21" s="2183"/>
      <c r="F21" s="2184"/>
    </row>
    <row r="22" spans="1:7" ht="15.75" thickTop="1">
      <c r="A22" s="1419" t="s">
        <v>42</v>
      </c>
      <c r="B22" s="1278" t="s">
        <v>189</v>
      </c>
      <c r="C22" s="1279" t="s">
        <v>229</v>
      </c>
      <c r="D22" s="1280">
        <v>10</v>
      </c>
      <c r="E22" s="1180">
        <f>Composição7!E22</f>
        <v>19.940000000000001</v>
      </c>
      <c r="F22" s="1276">
        <f>E22*D22</f>
        <v>199.4</v>
      </c>
      <c r="G22" s="1256" t="s">
        <v>1486</v>
      </c>
    </row>
    <row r="23" spans="1:7" ht="25.5">
      <c r="A23" s="1430">
        <v>88262</v>
      </c>
      <c r="B23" s="1272" t="s">
        <v>1538</v>
      </c>
      <c r="C23" s="1273" t="s">
        <v>229</v>
      </c>
      <c r="D23" s="1274">
        <v>5</v>
      </c>
      <c r="E23" s="1285">
        <v>24.39</v>
      </c>
      <c r="F23" s="1276">
        <f>E23*D23</f>
        <v>121.95</v>
      </c>
    </row>
    <row r="24" spans="1:7" hidden="1">
      <c r="A24" s="1271"/>
      <c r="B24" s="1272"/>
      <c r="C24" s="1273"/>
      <c r="D24" s="1274"/>
      <c r="E24" s="1285"/>
      <c r="F24" s="1276">
        <v>0</v>
      </c>
    </row>
    <row r="25" spans="1:7" hidden="1">
      <c r="A25" s="1277"/>
      <c r="B25" s="1278"/>
      <c r="C25" s="1279"/>
      <c r="D25" s="1280"/>
      <c r="E25" s="1284"/>
      <c r="F25" s="1276">
        <v>0</v>
      </c>
    </row>
    <row r="26" spans="1:7" ht="15.75" thickBot="1">
      <c r="A26" s="2185"/>
      <c r="B26" s="2186"/>
      <c r="C26" s="2186"/>
      <c r="D26" s="2187"/>
      <c r="E26" s="1286" t="s">
        <v>22</v>
      </c>
      <c r="F26" s="1283">
        <f>SUM(F22:F25)</f>
        <v>321.35000000000002</v>
      </c>
    </row>
    <row r="27" spans="1:7" ht="16.5" thickTop="1" thickBot="1">
      <c r="A27" s="2182" t="s">
        <v>1475</v>
      </c>
      <c r="B27" s="2183"/>
      <c r="C27" s="2183"/>
      <c r="D27" s="2183"/>
      <c r="E27" s="2183"/>
      <c r="F27" s="2184"/>
      <c r="G27" s="1256" t="s">
        <v>1486</v>
      </c>
    </row>
    <row r="28" spans="1:7" ht="15.75" thickTop="1">
      <c r="A28" s="1277"/>
      <c r="B28" s="1278"/>
      <c r="C28" s="1279"/>
      <c r="D28" s="1280"/>
      <c r="E28" s="1184"/>
      <c r="F28" s="1276">
        <f>E28*D28</f>
        <v>0</v>
      </c>
      <c r="G28" s="1256" t="s">
        <v>1486</v>
      </c>
    </row>
    <row r="29" spans="1:7">
      <c r="A29" s="1277"/>
      <c r="B29" s="1278"/>
      <c r="C29" s="1279"/>
      <c r="D29" s="1280"/>
      <c r="E29" s="1184"/>
      <c r="F29" s="1276">
        <f>E29*D29</f>
        <v>0</v>
      </c>
      <c r="G29" s="1256" t="s">
        <v>1486</v>
      </c>
    </row>
    <row r="30" spans="1:7">
      <c r="A30" s="1277"/>
      <c r="B30" s="1278"/>
      <c r="C30" s="1279"/>
      <c r="D30" s="1280"/>
      <c r="E30" s="1184"/>
      <c r="F30" s="1276">
        <f>E30*D30</f>
        <v>0</v>
      </c>
      <c r="G30" s="1256" t="s">
        <v>1486</v>
      </c>
    </row>
    <row r="31" spans="1:7">
      <c r="A31" s="1277"/>
      <c r="B31" s="1278"/>
      <c r="C31" s="1279"/>
      <c r="D31" s="1280"/>
      <c r="E31" s="1184"/>
      <c r="F31" s="1276">
        <f>E31*D31</f>
        <v>0</v>
      </c>
      <c r="G31" s="1256" t="s">
        <v>1486</v>
      </c>
    </row>
    <row r="32" spans="1:7" ht="15.75" thickBot="1">
      <c r="A32" s="2196"/>
      <c r="B32" s="2197"/>
      <c r="C32" s="2197"/>
      <c r="D32" s="2198"/>
      <c r="E32" s="1286" t="s">
        <v>22</v>
      </c>
      <c r="F32" s="1283">
        <f>SUM(F28:F31)</f>
        <v>0</v>
      </c>
    </row>
    <row r="33" spans="1:7" ht="16.5" thickTop="1" thickBot="1">
      <c r="A33" s="2182" t="s">
        <v>1476</v>
      </c>
      <c r="B33" s="2183"/>
      <c r="C33" s="2183"/>
      <c r="D33" s="2183"/>
      <c r="E33" s="2183"/>
      <c r="F33" s="2184"/>
    </row>
    <row r="34" spans="1:7" ht="15.75" thickTop="1">
      <c r="A34" s="1277"/>
      <c r="B34" s="1278"/>
      <c r="C34" s="1279"/>
      <c r="D34" s="1280"/>
      <c r="E34" s="1284"/>
      <c r="F34" s="1276">
        <f>E34*D34</f>
        <v>0</v>
      </c>
    </row>
    <row r="35" spans="1:7">
      <c r="A35" s="1277"/>
      <c r="B35" s="1278"/>
      <c r="C35" s="1279"/>
      <c r="D35" s="1280"/>
      <c r="E35" s="1284"/>
      <c r="F35" s="1276">
        <f>E35*D35</f>
        <v>0</v>
      </c>
    </row>
    <row r="36" spans="1:7" hidden="1">
      <c r="A36" s="1277"/>
      <c r="B36" s="1278"/>
      <c r="C36" s="1279"/>
      <c r="D36" s="1280"/>
      <c r="E36" s="1284"/>
      <c r="F36" s="1276">
        <v>0</v>
      </c>
    </row>
    <row r="37" spans="1:7" ht="15.75" thickBot="1">
      <c r="A37" s="2185"/>
      <c r="B37" s="2186"/>
      <c r="C37" s="2186"/>
      <c r="D37" s="2187"/>
      <c r="E37" s="1286" t="s">
        <v>22</v>
      </c>
      <c r="F37" s="1283">
        <f>SUM(F34:F36)</f>
        <v>0</v>
      </c>
    </row>
    <row r="38" spans="1:7" ht="15.75" thickTop="1">
      <c r="A38" s="2188" t="s">
        <v>1481</v>
      </c>
      <c r="B38" s="2189"/>
      <c r="C38" s="2189"/>
      <c r="D38" s="2189"/>
      <c r="E38" s="2190"/>
      <c r="F38" s="1287">
        <f>SUM(F37,F32,F26,F20)</f>
        <v>490.33</v>
      </c>
      <c r="G38" s="1288" t="e">
        <f>VLOOKUP(A10,#REF!,5,0)=F38</f>
        <v>#REF!</v>
      </c>
    </row>
    <row r="39" spans="1:7">
      <c r="A39" s="1289" t="s">
        <v>198</v>
      </c>
      <c r="B39" s="1290"/>
      <c r="C39" s="1290"/>
      <c r="D39" s="1290"/>
      <c r="E39" s="1291">
        <v>0.27460000000000001</v>
      </c>
      <c r="F39" s="1292">
        <f>E39*F38</f>
        <v>134.63999999999999</v>
      </c>
    </row>
    <row r="40" spans="1:7" ht="15.75" thickBot="1">
      <c r="A40" s="2191" t="s">
        <v>1482</v>
      </c>
      <c r="B40" s="2192"/>
      <c r="C40" s="2192"/>
      <c r="D40" s="2192"/>
      <c r="E40" s="2192"/>
      <c r="F40" s="1293">
        <f>F39+F38</f>
        <v>624.97</v>
      </c>
    </row>
    <row r="41" spans="1:7" ht="15.75" thickTop="1"/>
  </sheetData>
  <mergeCells count="23">
    <mergeCell ref="F11:F12"/>
    <mergeCell ref="A1:F1"/>
    <mergeCell ref="B2:F3"/>
    <mergeCell ref="A4:F4"/>
    <mergeCell ref="A7:F7"/>
    <mergeCell ref="B9:B10"/>
    <mergeCell ref="C9:C10"/>
    <mergeCell ref="D9:D10"/>
    <mergeCell ref="A11:A12"/>
    <mergeCell ref="B11:B12"/>
    <mergeCell ref="C11:C12"/>
    <mergeCell ref="D11:D12"/>
    <mergeCell ref="E11:E12"/>
    <mergeCell ref="A33:F33"/>
    <mergeCell ref="A37:D37"/>
    <mergeCell ref="A38:E38"/>
    <mergeCell ref="A40:E40"/>
    <mergeCell ref="A13:F13"/>
    <mergeCell ref="A20:E20"/>
    <mergeCell ref="A21:F21"/>
    <mergeCell ref="A26:D26"/>
    <mergeCell ref="A27:F27"/>
    <mergeCell ref="A32:D32"/>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EA94-DD90-4D7F-916F-9773AD2FACB5}">
  <sheetPr codeName="Planilha27">
    <tabColor theme="7" tint="0.39997558519241921"/>
    <pageSetUpPr fitToPage="1"/>
  </sheetPr>
  <dimension ref="A1:H40"/>
  <sheetViews>
    <sheetView showGridLines="0" view="pageBreakPreview" topLeftCell="A19" zoomScaleNormal="85" zoomScaleSheetLayoutView="100" workbookViewId="0">
      <selection activeCell="A20" sqref="A20:F20"/>
    </sheetView>
  </sheetViews>
  <sheetFormatPr defaultColWidth="9.140625" defaultRowHeight="15"/>
  <cols>
    <col min="1" max="1" width="11.42578125" style="1157" bestFit="1" customWidth="1"/>
    <col min="2" max="2" width="43.28515625" style="1156" customWidth="1"/>
    <col min="3" max="3" width="8.42578125" style="1158" customWidth="1"/>
    <col min="4" max="4" width="12.85546875" style="1156" customWidth="1"/>
    <col min="5" max="5" width="11.85546875" style="1159" customWidth="1"/>
    <col min="6" max="6" width="17.28515625" style="1160" customWidth="1"/>
    <col min="7" max="7" width="11.85546875" style="1156" bestFit="1" customWidth="1"/>
    <col min="8" max="16384" width="9.140625" style="1156"/>
  </cols>
  <sheetData>
    <row r="1" spans="1:8" ht="15" customHeight="1">
      <c r="A1" s="1151"/>
      <c r="B1" s="1152"/>
      <c r="C1" s="1153"/>
      <c r="D1" s="1153"/>
      <c r="E1" s="1154"/>
      <c r="F1" s="1155"/>
    </row>
    <row r="2" spans="1:8" s="1148" customFormat="1">
      <c r="A2" s="2219" t="s">
        <v>18</v>
      </c>
      <c r="B2" s="2219"/>
      <c r="C2" s="2219"/>
      <c r="D2" s="2219"/>
      <c r="E2" s="2219"/>
      <c r="F2" s="2219"/>
      <c r="G2" s="1146"/>
      <c r="H2" s="1147"/>
    </row>
    <row r="3" spans="1:8" s="1148" customFormat="1" ht="15" customHeight="1">
      <c r="A3" s="1448"/>
      <c r="B3" s="2220" t="s">
        <v>945</v>
      </c>
      <c r="C3" s="2220"/>
      <c r="D3" s="2220"/>
      <c r="E3" s="2220"/>
      <c r="F3" s="2220"/>
      <c r="G3" s="1149"/>
      <c r="H3" s="1149"/>
    </row>
    <row r="4" spans="1:8" s="1148" customFormat="1">
      <c r="A4" s="1448"/>
      <c r="B4" s="2220"/>
      <c r="C4" s="2220"/>
      <c r="D4" s="2220"/>
      <c r="E4" s="2220"/>
      <c r="F4" s="2220"/>
      <c r="G4" s="1146"/>
      <c r="H4" s="1150"/>
    </row>
    <row r="5" spans="1:8" s="1148" customFormat="1" ht="15.75" thickBot="1">
      <c r="A5" s="2219"/>
      <c r="B5" s="2219"/>
      <c r="C5" s="2219"/>
      <c r="D5" s="2219"/>
      <c r="E5" s="2219"/>
      <c r="F5" s="2219"/>
      <c r="G5" s="1146"/>
      <c r="H5" s="1150"/>
    </row>
    <row r="6" spans="1:8" ht="15.75" thickBot="1">
      <c r="A6" s="2221" t="s">
        <v>1456</v>
      </c>
      <c r="B6" s="2222"/>
      <c r="C6" s="2222"/>
      <c r="D6" s="2222"/>
      <c r="E6" s="2222"/>
      <c r="F6" s="2223"/>
    </row>
    <row r="7" spans="1:8" ht="15.75" thickBot="1"/>
    <row r="8" spans="1:8" ht="15" customHeight="1" thickTop="1">
      <c r="A8" s="1161" t="s">
        <v>6</v>
      </c>
      <c r="B8" s="2224" t="s">
        <v>962</v>
      </c>
      <c r="C8" s="2226" t="s">
        <v>1457</v>
      </c>
      <c r="D8" s="2210" t="s">
        <v>1812</v>
      </c>
      <c r="E8" s="1162" t="s">
        <v>1458</v>
      </c>
      <c r="F8" s="1163">
        <v>45413</v>
      </c>
    </row>
    <row r="9" spans="1:8" ht="25.5">
      <c r="A9" s="1164" t="s">
        <v>1459</v>
      </c>
      <c r="B9" s="2225"/>
      <c r="C9" s="2227"/>
      <c r="D9" s="2211"/>
      <c r="E9" s="1165" t="s">
        <v>1460</v>
      </c>
      <c r="F9" s="1166" t="s">
        <v>963</v>
      </c>
    </row>
    <row r="10" spans="1:8">
      <c r="A10" s="2228" t="s">
        <v>1461</v>
      </c>
      <c r="B10" s="2230" t="s">
        <v>5</v>
      </c>
      <c r="C10" s="2230" t="s">
        <v>21</v>
      </c>
      <c r="D10" s="2230" t="s">
        <v>1462</v>
      </c>
      <c r="E10" s="2230" t="s">
        <v>24</v>
      </c>
      <c r="F10" s="2217" t="s">
        <v>787</v>
      </c>
    </row>
    <row r="11" spans="1:8" ht="15.75" thickBot="1">
      <c r="A11" s="2229"/>
      <c r="B11" s="2231"/>
      <c r="C11" s="2232"/>
      <c r="D11" s="2232"/>
      <c r="E11" s="2232"/>
      <c r="F11" s="2218"/>
    </row>
    <row r="12" spans="1:8" ht="16.5" thickTop="1" thickBot="1">
      <c r="A12" s="2233" t="s">
        <v>1463</v>
      </c>
      <c r="B12" s="2234"/>
      <c r="C12" s="2234"/>
      <c r="D12" s="2234"/>
      <c r="E12" s="2234"/>
      <c r="F12" s="2235"/>
    </row>
    <row r="13" spans="1:8" ht="15.75" thickTop="1">
      <c r="A13" s="1167"/>
      <c r="B13" s="1168"/>
      <c r="C13" s="1169"/>
      <c r="D13" s="1170"/>
      <c r="E13" s="1171"/>
      <c r="F13" s="1172">
        <v>0</v>
      </c>
    </row>
    <row r="14" spans="1:8">
      <c r="A14" s="1173"/>
      <c r="B14" s="1174"/>
      <c r="C14" s="1175"/>
      <c r="D14" s="1176"/>
      <c r="E14" s="1177"/>
      <c r="F14" s="1172">
        <v>0</v>
      </c>
    </row>
    <row r="15" spans="1:8" hidden="1">
      <c r="A15" s="1173"/>
      <c r="B15" s="1174"/>
      <c r="C15" s="1175"/>
      <c r="D15" s="1176"/>
      <c r="E15" s="1177"/>
      <c r="F15" s="1172">
        <v>0</v>
      </c>
    </row>
    <row r="16" spans="1:8" hidden="1">
      <c r="A16" s="1173"/>
      <c r="B16" s="1174"/>
      <c r="C16" s="1175"/>
      <c r="D16" s="1176"/>
      <c r="E16" s="1177"/>
      <c r="F16" s="1172">
        <v>0</v>
      </c>
    </row>
    <row r="17" spans="1:6" hidden="1">
      <c r="A17" s="1173"/>
      <c r="B17" s="1174"/>
      <c r="C17" s="1175"/>
      <c r="D17" s="1176"/>
      <c r="E17" s="1177"/>
      <c r="F17" s="1172">
        <v>0</v>
      </c>
    </row>
    <row r="18" spans="1:6" hidden="1">
      <c r="A18" s="1173"/>
      <c r="B18" s="1174"/>
      <c r="C18" s="1175"/>
      <c r="D18" s="1176"/>
      <c r="E18" s="1177"/>
      <c r="F18" s="1172">
        <v>0</v>
      </c>
    </row>
    <row r="19" spans="1:6" ht="15.75" thickBot="1">
      <c r="A19" s="2244" t="s">
        <v>22</v>
      </c>
      <c r="B19" s="2245"/>
      <c r="C19" s="2245"/>
      <c r="D19" s="2245"/>
      <c r="E19" s="2246"/>
      <c r="F19" s="1178">
        <f>SUM(F17:F18)</f>
        <v>0</v>
      </c>
    </row>
    <row r="20" spans="1:6" ht="16.5" thickTop="1" thickBot="1">
      <c r="A20" s="2233" t="s">
        <v>188</v>
      </c>
      <c r="B20" s="2234"/>
      <c r="C20" s="2234"/>
      <c r="D20" s="2234"/>
      <c r="E20" s="2234"/>
      <c r="F20" s="2235"/>
    </row>
    <row r="21" spans="1:6" ht="15.75" thickTop="1">
      <c r="A21" s="1417" t="s">
        <v>1464</v>
      </c>
      <c r="B21" s="1168" t="s">
        <v>1465</v>
      </c>
      <c r="C21" s="1169" t="s">
        <v>229</v>
      </c>
      <c r="D21" s="1179">
        <v>80</v>
      </c>
      <c r="E21" s="1180">
        <v>129.94999999999999</v>
      </c>
      <c r="F21" s="1181">
        <f t="shared" ref="F21:F26" si="0">ROUND(D21*E21,2)</f>
        <v>10396</v>
      </c>
    </row>
    <row r="22" spans="1:6">
      <c r="A22" s="1417" t="s">
        <v>1466</v>
      </c>
      <c r="B22" s="1168" t="s">
        <v>1467</v>
      </c>
      <c r="C22" s="1169" t="s">
        <v>229</v>
      </c>
      <c r="D22" s="1179">
        <v>220</v>
      </c>
      <c r="E22" s="1180">
        <v>24.26</v>
      </c>
      <c r="F22" s="1182">
        <f t="shared" si="0"/>
        <v>5337.2</v>
      </c>
    </row>
    <row r="23" spans="1:6">
      <c r="A23" s="1417" t="s">
        <v>1468</v>
      </c>
      <c r="B23" s="1168" t="s">
        <v>1469</v>
      </c>
      <c r="C23" s="1169" t="s">
        <v>229</v>
      </c>
      <c r="D23" s="1179">
        <f>220*1</f>
        <v>220</v>
      </c>
      <c r="E23" s="1180">
        <v>32.08</v>
      </c>
      <c r="F23" s="1182">
        <f t="shared" si="0"/>
        <v>7057.6</v>
      </c>
    </row>
    <row r="24" spans="1:6">
      <c r="A24" s="1417" t="s">
        <v>1718</v>
      </c>
      <c r="B24" s="1168" t="s">
        <v>1470</v>
      </c>
      <c r="C24" s="1169" t="s">
        <v>229</v>
      </c>
      <c r="D24" s="1179">
        <f>220*5</f>
        <v>1100</v>
      </c>
      <c r="E24" s="1180">
        <v>19.72</v>
      </c>
      <c r="F24" s="1182">
        <f t="shared" si="0"/>
        <v>21692</v>
      </c>
    </row>
    <row r="25" spans="1:6">
      <c r="A25" s="1417" t="s">
        <v>1471</v>
      </c>
      <c r="B25" s="1168" t="s">
        <v>1472</v>
      </c>
      <c r="C25" s="1169" t="s">
        <v>229</v>
      </c>
      <c r="D25" s="1179">
        <v>220</v>
      </c>
      <c r="E25" s="1180">
        <v>18.11</v>
      </c>
      <c r="F25" s="1182">
        <f t="shared" si="0"/>
        <v>3984.2</v>
      </c>
    </row>
    <row r="26" spans="1:6">
      <c r="A26" s="1418" t="s">
        <v>1473</v>
      </c>
      <c r="B26" s="1174" t="s">
        <v>1474</v>
      </c>
      <c r="C26" s="1175" t="s">
        <v>229</v>
      </c>
      <c r="D26" s="1183">
        <v>220</v>
      </c>
      <c r="E26" s="1180">
        <v>20.53</v>
      </c>
      <c r="F26" s="1182">
        <f t="shared" si="0"/>
        <v>4516.6000000000004</v>
      </c>
    </row>
    <row r="27" spans="1:6" ht="15.75" thickBot="1">
      <c r="A27" s="2236"/>
      <c r="B27" s="2237"/>
      <c r="C27" s="2237"/>
      <c r="D27" s="2238"/>
      <c r="E27" s="1185" t="s">
        <v>22</v>
      </c>
      <c r="F27" s="1178">
        <f>SUM(F21:F26)</f>
        <v>52983.6</v>
      </c>
    </row>
    <row r="28" spans="1:6" ht="16.5" thickTop="1" thickBot="1">
      <c r="A28" s="2233" t="s">
        <v>1475</v>
      </c>
      <c r="B28" s="2234"/>
      <c r="C28" s="2234"/>
      <c r="D28" s="2234"/>
      <c r="E28" s="2234"/>
      <c r="F28" s="2235"/>
    </row>
    <row r="29" spans="1:6" ht="15.75" thickTop="1">
      <c r="A29" s="1173"/>
      <c r="B29" s="1174"/>
      <c r="C29" s="1175"/>
      <c r="D29" s="1176"/>
      <c r="E29" s="1184"/>
      <c r="F29" s="1186">
        <v>0</v>
      </c>
    </row>
    <row r="30" spans="1:6">
      <c r="A30" s="1173"/>
      <c r="B30" s="1174"/>
      <c r="C30" s="1175"/>
      <c r="D30" s="1176"/>
      <c r="E30" s="1184"/>
      <c r="F30" s="1186">
        <v>0</v>
      </c>
    </row>
    <row r="31" spans="1:6" ht="15.75" thickBot="1">
      <c r="A31" s="2247"/>
      <c r="B31" s="2248"/>
      <c r="C31" s="2248"/>
      <c r="D31" s="2249"/>
      <c r="E31" s="1185" t="s">
        <v>22</v>
      </c>
      <c r="F31" s="1178">
        <f>SUM(F29:F30)</f>
        <v>0</v>
      </c>
    </row>
    <row r="32" spans="1:6" ht="16.5" thickTop="1" thickBot="1">
      <c r="A32" s="2233" t="s">
        <v>1476</v>
      </c>
      <c r="B32" s="2234"/>
      <c r="C32" s="2234"/>
      <c r="D32" s="2234"/>
      <c r="E32" s="2234"/>
      <c r="F32" s="2235"/>
    </row>
    <row r="33" spans="1:7" ht="39" thickTop="1">
      <c r="A33" s="1418">
        <v>14250</v>
      </c>
      <c r="B33" s="1187" t="s">
        <v>1477</v>
      </c>
      <c r="C33" s="1175" t="s">
        <v>1478</v>
      </c>
      <c r="D33" s="1183">
        <v>2500</v>
      </c>
      <c r="E33" s="1184">
        <v>1.19</v>
      </c>
      <c r="F33" s="1181">
        <f>ROUND(D33*E33,2)</f>
        <v>2975</v>
      </c>
    </row>
    <row r="34" spans="1:7">
      <c r="A34" s="1418" t="s">
        <v>1479</v>
      </c>
      <c r="B34" s="1174" t="s">
        <v>1480</v>
      </c>
      <c r="C34" s="1175" t="s">
        <v>195</v>
      </c>
      <c r="D34" s="1183">
        <v>48.43</v>
      </c>
      <c r="E34" s="1184">
        <v>22.51</v>
      </c>
      <c r="F34" s="1182">
        <f>ROUND(D34*E34,2)</f>
        <v>1090.1600000000001</v>
      </c>
    </row>
    <row r="35" spans="1:7">
      <c r="A35" s="1173"/>
      <c r="B35" s="1174"/>
      <c r="C35" s="1175"/>
      <c r="D35" s="1176"/>
      <c r="E35" s="1184"/>
      <c r="F35" s="1186">
        <f>ROUND(D35*E35,2)</f>
        <v>0</v>
      </c>
    </row>
    <row r="36" spans="1:7" ht="15.75" thickBot="1">
      <c r="A36" s="2236"/>
      <c r="B36" s="2237"/>
      <c r="C36" s="2237"/>
      <c r="D36" s="2238"/>
      <c r="E36" s="1185" t="s">
        <v>22</v>
      </c>
      <c r="F36" s="1178">
        <f>SUM(F33:F35)</f>
        <v>4065.16</v>
      </c>
    </row>
    <row r="37" spans="1:7" ht="15.75" thickTop="1">
      <c r="A37" s="2239" t="s">
        <v>1481</v>
      </c>
      <c r="B37" s="2240"/>
      <c r="C37" s="2240"/>
      <c r="D37" s="2240"/>
      <c r="E37" s="2241"/>
      <c r="F37" s="1188">
        <f>F36+F31+F27+F19</f>
        <v>57048.76</v>
      </c>
      <c r="G37" s="1189"/>
    </row>
    <row r="38" spans="1:7">
      <c r="A38" s="1190" t="s">
        <v>198</v>
      </c>
      <c r="B38" s="1191"/>
      <c r="C38" s="1191"/>
      <c r="D38" s="1191"/>
      <c r="E38" s="1192">
        <f>'[16]B.D.I'!J22</f>
        <v>0.27460000000000001</v>
      </c>
      <c r="F38" s="1193">
        <f>F37*E38</f>
        <v>15665.59</v>
      </c>
      <c r="G38" s="1194"/>
    </row>
    <row r="39" spans="1:7" ht="15.75" thickBot="1">
      <c r="A39" s="2242" t="s">
        <v>1482</v>
      </c>
      <c r="B39" s="2243"/>
      <c r="C39" s="2243"/>
      <c r="D39" s="2243"/>
      <c r="E39" s="2243"/>
      <c r="F39" s="1195">
        <f>F38+F37</f>
        <v>72714.350000000006</v>
      </c>
    </row>
    <row r="40" spans="1:7" ht="15.75" thickTop="1"/>
  </sheetData>
  <mergeCells count="23">
    <mergeCell ref="A32:F32"/>
    <mergeCell ref="A36:D36"/>
    <mergeCell ref="A37:E37"/>
    <mergeCell ref="A39:E39"/>
    <mergeCell ref="A12:F12"/>
    <mergeCell ref="A19:E19"/>
    <mergeCell ref="A20:F20"/>
    <mergeCell ref="A27:D27"/>
    <mergeCell ref="A28:F28"/>
    <mergeCell ref="A31:D31"/>
    <mergeCell ref="F10:F11"/>
    <mergeCell ref="A2:F2"/>
    <mergeCell ref="B3:F4"/>
    <mergeCell ref="A5:F5"/>
    <mergeCell ref="A6:F6"/>
    <mergeCell ref="B8:B9"/>
    <mergeCell ref="C8:C9"/>
    <mergeCell ref="D8:D9"/>
    <mergeCell ref="A10:A11"/>
    <mergeCell ref="B10:B11"/>
    <mergeCell ref="C10:C11"/>
    <mergeCell ref="D10:D11"/>
    <mergeCell ref="E10:E11"/>
  </mergeCells>
  <printOptions horizontalCentered="1"/>
  <pageMargins left="0.51181102362204722" right="0.31496062992125984" top="0.55118110236220474" bottom="0.78740157480314965" header="0.31496062992125984" footer="0.31496062992125984"/>
  <pageSetup paperSize="9" scale="92" orientation="portrait" r:id="rId1"/>
  <headerFooter>
    <oddHeader xml:space="preserve">&amp;C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AAA9-8F92-4346-BC32-A3C44E87CAF2}">
  <sheetPr codeName="Planilha7">
    <tabColor theme="7" tint="0.39997558519241921"/>
    <pageSetUpPr fitToPage="1"/>
  </sheetPr>
  <dimension ref="A1:H38"/>
  <sheetViews>
    <sheetView showGridLines="0" view="pageBreakPreview" topLeftCell="A23" zoomScaleNormal="85" zoomScaleSheetLayoutView="100" workbookViewId="0">
      <selection activeCell="G35" sqref="G35"/>
    </sheetView>
  </sheetViews>
  <sheetFormatPr defaultColWidth="9.140625" defaultRowHeight="15"/>
  <cols>
    <col min="1" max="1" width="12.42578125" style="1157" customWidth="1"/>
    <col min="2" max="2" width="43.28515625" style="1156" customWidth="1"/>
    <col min="3" max="3" width="8.42578125" style="1158" customWidth="1"/>
    <col min="4" max="4" width="12.85546875" style="1156" customWidth="1"/>
    <col min="5" max="5" width="11.85546875" style="1159" customWidth="1"/>
    <col min="6" max="6" width="17.28515625" style="1160" customWidth="1"/>
    <col min="7" max="7" width="11.85546875" style="1156" bestFit="1" customWidth="1"/>
    <col min="8" max="16384" width="9.140625" style="1156"/>
  </cols>
  <sheetData>
    <row r="1" spans="1:8" ht="15.75" customHeight="1">
      <c r="A1" s="1452"/>
      <c r="B1" s="1453"/>
      <c r="C1" s="1454"/>
      <c r="D1" s="1454"/>
      <c r="E1" s="1455"/>
      <c r="F1" s="1456"/>
    </row>
    <row r="2" spans="1:8" s="1148" customFormat="1">
      <c r="A2" s="2250" t="s">
        <v>18</v>
      </c>
      <c r="B2" s="2201"/>
      <c r="C2" s="2201"/>
      <c r="D2" s="2201"/>
      <c r="E2" s="2201"/>
      <c r="F2" s="2251"/>
      <c r="G2" s="1146"/>
      <c r="H2" s="1147"/>
    </row>
    <row r="3" spans="1:8" s="1148" customFormat="1">
      <c r="A3" s="2252" t="s">
        <v>1483</v>
      </c>
      <c r="B3" s="2253"/>
      <c r="C3" s="2253"/>
      <c r="D3" s="2253"/>
      <c r="E3" s="2253"/>
      <c r="F3" s="2254"/>
      <c r="G3" s="1149"/>
      <c r="H3" s="1149"/>
    </row>
    <row r="4" spans="1:8" s="1148" customFormat="1">
      <c r="A4" s="2250"/>
      <c r="B4" s="2201"/>
      <c r="C4" s="2201"/>
      <c r="D4" s="2201"/>
      <c r="E4" s="2201"/>
      <c r="F4" s="2251"/>
      <c r="G4" s="1146"/>
      <c r="H4" s="1150"/>
    </row>
    <row r="5" spans="1:8" s="1148" customFormat="1">
      <c r="A5" s="2250"/>
      <c r="B5" s="2201"/>
      <c r="C5" s="2201"/>
      <c r="D5" s="2201"/>
      <c r="E5" s="2201"/>
      <c r="F5" s="2251"/>
      <c r="G5" s="1146"/>
      <c r="H5" s="1150"/>
    </row>
    <row r="6" spans="1:8" ht="15" customHeight="1" thickBot="1">
      <c r="A6" s="1457"/>
      <c r="B6" s="1458"/>
      <c r="C6" s="1459"/>
      <c r="D6" s="1459"/>
      <c r="E6" s="1460"/>
      <c r="F6" s="1461"/>
    </row>
    <row r="7" spans="1:8" ht="16.5" thickBot="1">
      <c r="A7" s="2255" t="s">
        <v>1456</v>
      </c>
      <c r="B7" s="2256"/>
      <c r="C7" s="2256"/>
      <c r="D7" s="2256"/>
      <c r="E7" s="2256"/>
      <c r="F7" s="2257"/>
    </row>
    <row r="8" spans="1:8" ht="15.75" thickBot="1"/>
    <row r="9" spans="1:8" ht="15" customHeight="1" thickTop="1">
      <c r="A9" s="1161" t="s">
        <v>6</v>
      </c>
      <c r="B9" s="2258" t="s">
        <v>1484</v>
      </c>
      <c r="C9" s="2226" t="s">
        <v>1457</v>
      </c>
      <c r="D9" s="2210" t="s">
        <v>1812</v>
      </c>
      <c r="E9" s="1162" t="s">
        <v>1458</v>
      </c>
      <c r="F9" s="1163">
        <v>45413</v>
      </c>
    </row>
    <row r="10" spans="1:8">
      <c r="A10" s="1197" t="s">
        <v>964</v>
      </c>
      <c r="B10" s="2259"/>
      <c r="C10" s="2227"/>
      <c r="D10" s="2211"/>
      <c r="E10" s="1165" t="s">
        <v>1460</v>
      </c>
      <c r="F10" s="1166" t="s">
        <v>2</v>
      </c>
    </row>
    <row r="11" spans="1:8">
      <c r="A11" s="2228" t="s">
        <v>1461</v>
      </c>
      <c r="B11" s="2230" t="s">
        <v>5</v>
      </c>
      <c r="C11" s="2230" t="s">
        <v>21</v>
      </c>
      <c r="D11" s="2230" t="s">
        <v>1462</v>
      </c>
      <c r="E11" s="2230" t="s">
        <v>24</v>
      </c>
      <c r="F11" s="2217" t="s">
        <v>787</v>
      </c>
    </row>
    <row r="12" spans="1:8" ht="15.75" thickBot="1">
      <c r="A12" s="2229"/>
      <c r="B12" s="2231"/>
      <c r="C12" s="2232"/>
      <c r="D12" s="2232"/>
      <c r="E12" s="2232"/>
      <c r="F12" s="2218"/>
    </row>
    <row r="13" spans="1:8" ht="16.5" thickTop="1" thickBot="1">
      <c r="A13" s="2233" t="s">
        <v>1463</v>
      </c>
      <c r="B13" s="2234"/>
      <c r="C13" s="2234"/>
      <c r="D13" s="2234"/>
      <c r="E13" s="2234"/>
      <c r="F13" s="2235"/>
    </row>
    <row r="14" spans="1:8" ht="39" thickTop="1">
      <c r="A14" s="1417" t="s">
        <v>1720</v>
      </c>
      <c r="B14" s="1168" t="s">
        <v>1485</v>
      </c>
      <c r="C14" s="1169" t="s">
        <v>504</v>
      </c>
      <c r="D14" s="1176">
        <v>1.48621E-2</v>
      </c>
      <c r="E14" s="1171">
        <v>13.93</v>
      </c>
      <c r="F14" s="1172">
        <f>E14*D14</f>
        <v>0.21</v>
      </c>
      <c r="G14" s="1156" t="s">
        <v>1486</v>
      </c>
    </row>
    <row r="15" spans="1:8">
      <c r="A15" s="1173"/>
      <c r="B15" s="1174"/>
      <c r="C15" s="1175"/>
      <c r="D15" s="1176"/>
      <c r="E15" s="1177"/>
      <c r="F15" s="1172">
        <v>0</v>
      </c>
    </row>
    <row r="16" spans="1:8" hidden="1">
      <c r="A16" s="1173"/>
      <c r="B16" s="1174"/>
      <c r="C16" s="1175"/>
      <c r="D16" s="1176"/>
      <c r="E16" s="1177"/>
      <c r="F16" s="1172">
        <v>0</v>
      </c>
    </row>
    <row r="17" spans="1:7" hidden="1">
      <c r="A17" s="1173"/>
      <c r="B17" s="1174"/>
      <c r="C17" s="1175"/>
      <c r="D17" s="1176"/>
      <c r="E17" s="1177"/>
      <c r="F17" s="1172">
        <v>0</v>
      </c>
    </row>
    <row r="18" spans="1:7" hidden="1">
      <c r="A18" s="1173"/>
      <c r="B18" s="1174"/>
      <c r="C18" s="1175"/>
      <c r="D18" s="1176"/>
      <c r="E18" s="1177"/>
      <c r="F18" s="1172">
        <v>0</v>
      </c>
    </row>
    <row r="19" spans="1:7" hidden="1">
      <c r="A19" s="1173"/>
      <c r="B19" s="1174"/>
      <c r="C19" s="1175"/>
      <c r="D19" s="1176"/>
      <c r="E19" s="1177"/>
      <c r="F19" s="1172">
        <v>0</v>
      </c>
    </row>
    <row r="20" spans="1:7" ht="15.75" thickBot="1">
      <c r="A20" s="2244" t="s">
        <v>22</v>
      </c>
      <c r="B20" s="2245"/>
      <c r="C20" s="2245"/>
      <c r="D20" s="2245"/>
      <c r="E20" s="2246"/>
      <c r="F20" s="1198">
        <f>SUM(F14:F19)</f>
        <v>0.21</v>
      </c>
    </row>
    <row r="21" spans="1:7" ht="16.5" thickTop="1" thickBot="1">
      <c r="A21" s="2233" t="s">
        <v>188</v>
      </c>
      <c r="B21" s="2234"/>
      <c r="C21" s="2234"/>
      <c r="D21" s="2234"/>
      <c r="E21" s="2234"/>
      <c r="F21" s="2235"/>
    </row>
    <row r="22" spans="1:7" ht="26.25" thickTop="1">
      <c r="A22" s="1417" t="s">
        <v>232</v>
      </c>
      <c r="B22" s="1168" t="s">
        <v>1487</v>
      </c>
      <c r="C22" s="1169" t="s">
        <v>229</v>
      </c>
      <c r="D22" s="1176">
        <v>1.28743E-2</v>
      </c>
      <c r="E22" s="1180">
        <v>14.14</v>
      </c>
      <c r="F22" s="1172">
        <f>E22*D22</f>
        <v>0.18</v>
      </c>
      <c r="G22" s="1156" t="s">
        <v>1486</v>
      </c>
    </row>
    <row r="23" spans="1:7">
      <c r="A23" s="1417" t="s">
        <v>1488</v>
      </c>
      <c r="B23" s="1168" t="s">
        <v>1489</v>
      </c>
      <c r="C23" s="1169" t="s">
        <v>229</v>
      </c>
      <c r="D23" s="1176">
        <v>1.28743E-2</v>
      </c>
      <c r="E23" s="1180">
        <v>14.57</v>
      </c>
      <c r="F23" s="1186">
        <f>E23*D23</f>
        <v>0.19</v>
      </c>
      <c r="G23" s="1156" t="s">
        <v>1486</v>
      </c>
    </row>
    <row r="24" spans="1:7">
      <c r="A24" s="1417" t="s">
        <v>42</v>
      </c>
      <c r="B24" s="1168" t="s">
        <v>189</v>
      </c>
      <c r="C24" s="1169" t="s">
        <v>229</v>
      </c>
      <c r="D24" s="1176">
        <v>3.8622900000000002E-2</v>
      </c>
      <c r="E24" s="1180">
        <v>19.940000000000001</v>
      </c>
      <c r="F24" s="1186">
        <f>E24*D24</f>
        <v>0.77</v>
      </c>
      <c r="G24" s="1156" t="s">
        <v>1486</v>
      </c>
    </row>
    <row r="25" spans="1:7" ht="25.5">
      <c r="A25" s="1418" t="s">
        <v>1719</v>
      </c>
      <c r="B25" s="1174" t="s">
        <v>1490</v>
      </c>
      <c r="C25" s="1175" t="s">
        <v>229</v>
      </c>
      <c r="D25" s="1176">
        <v>1.02994E-2</v>
      </c>
      <c r="E25" s="1184">
        <v>22.87</v>
      </c>
      <c r="F25" s="1186">
        <f>E25*D25</f>
        <v>0.24</v>
      </c>
      <c r="G25" s="1156" t="s">
        <v>1486</v>
      </c>
    </row>
    <row r="26" spans="1:7" ht="15.75" thickBot="1">
      <c r="A26" s="2236"/>
      <c r="B26" s="2237"/>
      <c r="C26" s="2237"/>
      <c r="D26" s="2238"/>
      <c r="E26" s="1185" t="s">
        <v>22</v>
      </c>
      <c r="F26" s="1198">
        <f>SUM(F22:F25)</f>
        <v>1.38</v>
      </c>
    </row>
    <row r="27" spans="1:7" ht="16.5" thickTop="1" thickBot="1">
      <c r="A27" s="2233" t="s">
        <v>1475</v>
      </c>
      <c r="B27" s="2234"/>
      <c r="C27" s="2234"/>
      <c r="D27" s="2234"/>
      <c r="E27" s="2234"/>
      <c r="F27" s="2235"/>
    </row>
    <row r="28" spans="1:7" ht="39" thickTop="1">
      <c r="A28" s="1418" t="s">
        <v>1491</v>
      </c>
      <c r="B28" s="1174" t="s">
        <v>1492</v>
      </c>
      <c r="C28" s="1175" t="s">
        <v>174</v>
      </c>
      <c r="D28" s="1176">
        <v>5.1497000000000001E-3</v>
      </c>
      <c r="E28" s="1184">
        <v>72.8</v>
      </c>
      <c r="F28" s="1186">
        <f>E28*D28</f>
        <v>0.37</v>
      </c>
      <c r="G28" s="1156" t="s">
        <v>1486</v>
      </c>
    </row>
    <row r="29" spans="1:7">
      <c r="A29" s="1173"/>
      <c r="B29" s="1174"/>
      <c r="C29" s="1175"/>
      <c r="D29" s="1176"/>
      <c r="E29" s="1184"/>
      <c r="F29" s="1186"/>
    </row>
    <row r="30" spans="1:7" ht="15.75" thickBot="1">
      <c r="A30" s="2247"/>
      <c r="B30" s="2248"/>
      <c r="C30" s="2248"/>
      <c r="D30" s="2249"/>
      <c r="E30" s="1185" t="s">
        <v>22</v>
      </c>
      <c r="F30" s="1198">
        <f>SUM(F28:F29)</f>
        <v>0.37</v>
      </c>
    </row>
    <row r="31" spans="1:7" ht="16.5" thickTop="1" thickBot="1">
      <c r="A31" s="2233" t="s">
        <v>1476</v>
      </c>
      <c r="B31" s="2234"/>
      <c r="C31" s="2234"/>
      <c r="D31" s="2234"/>
      <c r="E31" s="2234"/>
      <c r="F31" s="2235"/>
    </row>
    <row r="32" spans="1:7" ht="15.75" thickTop="1">
      <c r="A32" s="1173"/>
      <c r="B32" s="1174"/>
      <c r="C32" s="1175"/>
      <c r="D32" s="1176"/>
      <c r="E32" s="1184"/>
      <c r="F32" s="1186"/>
    </row>
    <row r="33" spans="1:7">
      <c r="A33" s="1173"/>
      <c r="B33" s="1174"/>
      <c r="C33" s="1175"/>
      <c r="D33" s="1176"/>
      <c r="E33" s="1184"/>
      <c r="F33" s="1186"/>
    </row>
    <row r="34" spans="1:7" ht="15.75" thickBot="1">
      <c r="A34" s="2236"/>
      <c r="B34" s="2237"/>
      <c r="C34" s="2237"/>
      <c r="D34" s="2238"/>
      <c r="E34" s="1185" t="s">
        <v>22</v>
      </c>
      <c r="F34" s="1198">
        <f>SUM(F32:F33)</f>
        <v>0</v>
      </c>
    </row>
    <row r="35" spans="1:7" ht="15.75" thickTop="1">
      <c r="A35" s="2239" t="s">
        <v>1481</v>
      </c>
      <c r="B35" s="2240"/>
      <c r="C35" s="2240"/>
      <c r="D35" s="2240"/>
      <c r="E35" s="2241"/>
      <c r="F35" s="1199">
        <f>SUM(F34,F30,F26,F20)</f>
        <v>1.96</v>
      </c>
      <c r="G35" s="1200" t="b">
        <f>VLOOKUP(A10,'[16]Maguariaçu T2'!$B$10:$F$68,5,0)=F35</f>
        <v>0</v>
      </c>
    </row>
    <row r="36" spans="1:7">
      <c r="A36" s="1190" t="s">
        <v>198</v>
      </c>
      <c r="B36" s="1191"/>
      <c r="C36" s="1191"/>
      <c r="D36" s="1191"/>
      <c r="E36" s="1192">
        <f>'[16]B.D.I'!J22</f>
        <v>0.27460000000000001</v>
      </c>
      <c r="F36" s="1201">
        <f>E36*F35</f>
        <v>0.54</v>
      </c>
    </row>
    <row r="37" spans="1:7" ht="15.75" thickBot="1">
      <c r="A37" s="2242" t="s">
        <v>1482</v>
      </c>
      <c r="B37" s="2243"/>
      <c r="C37" s="2243"/>
      <c r="D37" s="2243"/>
      <c r="E37" s="2243"/>
      <c r="F37" s="1202">
        <f>F36+F35</f>
        <v>2.5</v>
      </c>
    </row>
    <row r="38" spans="1:7" ht="15.75" thickTop="1"/>
  </sheetData>
  <mergeCells count="24">
    <mergeCell ref="A31:F31"/>
    <mergeCell ref="A34:D34"/>
    <mergeCell ref="A35:E35"/>
    <mergeCell ref="A37:E37"/>
    <mergeCell ref="A13:F13"/>
    <mergeCell ref="A20:E20"/>
    <mergeCell ref="A21:F21"/>
    <mergeCell ref="A26:D26"/>
    <mergeCell ref="A27:F27"/>
    <mergeCell ref="A30:D30"/>
    <mergeCell ref="F11:F12"/>
    <mergeCell ref="A2:F2"/>
    <mergeCell ref="A3:F3"/>
    <mergeCell ref="A4:F4"/>
    <mergeCell ref="A5:F5"/>
    <mergeCell ref="A7:F7"/>
    <mergeCell ref="B9:B10"/>
    <mergeCell ref="C9:C10"/>
    <mergeCell ref="D9:D10"/>
    <mergeCell ref="A11:A12"/>
    <mergeCell ref="B11:B12"/>
    <mergeCell ref="C11:C12"/>
    <mergeCell ref="D11:D12"/>
    <mergeCell ref="E11:E12"/>
  </mergeCells>
  <printOptions horizontalCentered="1"/>
  <pageMargins left="0.51181102362204722" right="0.31496062992125984" top="0.55118110236220474" bottom="0.78740157480314965" header="0.31496062992125984" footer="0.31496062992125984"/>
  <pageSetup paperSize="9" scale="91" orientation="portrait" r:id="rId1"/>
  <headerFooter>
    <oddHeader xml:space="preserve">&amp;C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C532-DC97-43DC-B5AB-69A655DA2F22}">
  <sheetPr>
    <tabColor theme="7" tint="0.39997558519241921"/>
  </sheetPr>
  <dimension ref="A1:K54"/>
  <sheetViews>
    <sheetView showGridLines="0" view="pageBreakPreview" topLeftCell="A37" zoomScaleNormal="85" zoomScaleSheetLayoutView="100" workbookViewId="0">
      <selection activeCell="B11" sqref="B11:E12"/>
    </sheetView>
  </sheetViews>
  <sheetFormatPr defaultColWidth="9.140625" defaultRowHeight="14.25"/>
  <cols>
    <col min="1" max="1" width="11.5703125" style="1204" bestFit="1" customWidth="1"/>
    <col min="2" max="2" width="43.28515625" style="1203" customWidth="1"/>
    <col min="3" max="3" width="5.42578125" style="1203" customWidth="1"/>
    <col min="4" max="4" width="7.140625" style="1203" customWidth="1"/>
    <col min="5" max="5" width="4.28515625" style="1203" bestFit="1" customWidth="1"/>
    <col min="6" max="6" width="8" style="1205" customWidth="1"/>
    <col min="7" max="7" width="12.85546875" style="1203" customWidth="1"/>
    <col min="8" max="8" width="11.85546875" style="1206" customWidth="1"/>
    <col min="9" max="9" width="17.28515625" style="1207" customWidth="1"/>
    <col min="10" max="10" width="12" style="1203" bestFit="1" customWidth="1"/>
    <col min="11" max="11" width="9.28515625" style="1203" bestFit="1" customWidth="1"/>
    <col min="12" max="16384" width="9.140625" style="1203"/>
  </cols>
  <sheetData>
    <row r="1" spans="1:11" ht="15.75" customHeight="1">
      <c r="A1" s="1452"/>
      <c r="B1" s="1453"/>
      <c r="C1" s="1453"/>
      <c r="D1" s="1453"/>
      <c r="E1" s="1453"/>
      <c r="F1" s="1454"/>
      <c r="G1" s="1454"/>
      <c r="H1" s="1455"/>
      <c r="I1" s="1456"/>
    </row>
    <row r="2" spans="1:11" s="1148" customFormat="1" ht="15">
      <c r="A2" s="2250" t="s">
        <v>18</v>
      </c>
      <c r="B2" s="2201"/>
      <c r="C2" s="2201"/>
      <c r="D2" s="2201"/>
      <c r="E2" s="2201"/>
      <c r="F2" s="2201"/>
      <c r="G2" s="2201"/>
      <c r="H2" s="2201"/>
      <c r="I2" s="2251"/>
      <c r="J2" s="1146"/>
      <c r="K2" s="1147"/>
    </row>
    <row r="3" spans="1:11" s="1148" customFormat="1" ht="15">
      <c r="A3" s="1462"/>
      <c r="B3" s="2202" t="s">
        <v>945</v>
      </c>
      <c r="C3" s="2202"/>
      <c r="D3" s="2202"/>
      <c r="E3" s="2202"/>
      <c r="F3" s="2202"/>
      <c r="G3" s="2202"/>
      <c r="H3" s="2202"/>
      <c r="I3" s="2262"/>
      <c r="J3" s="1149"/>
      <c r="K3" s="1149"/>
    </row>
    <row r="4" spans="1:11" s="1148" customFormat="1" ht="15">
      <c r="A4" s="1462"/>
      <c r="B4" s="2202"/>
      <c r="C4" s="2202"/>
      <c r="D4" s="2202"/>
      <c r="E4" s="2202"/>
      <c r="F4" s="2202"/>
      <c r="G4" s="2202"/>
      <c r="H4" s="2202"/>
      <c r="I4" s="2262"/>
      <c r="J4" s="1146"/>
      <c r="K4" s="1150"/>
    </row>
    <row r="5" spans="1:11" s="1148" customFormat="1" ht="15">
      <c r="A5" s="2250"/>
      <c r="B5" s="2201"/>
      <c r="C5" s="2201"/>
      <c r="D5" s="2201"/>
      <c r="E5" s="2201"/>
      <c r="F5" s="2201"/>
      <c r="G5" s="2201"/>
      <c r="H5" s="2201"/>
      <c r="I5" s="2251"/>
      <c r="J5" s="1146"/>
      <c r="K5" s="1150"/>
    </row>
    <row r="6" spans="1:11" ht="15" customHeight="1" thickBot="1">
      <c r="A6" s="1457"/>
      <c r="B6" s="1458"/>
      <c r="C6" s="1458"/>
      <c r="D6" s="1458"/>
      <c r="E6" s="1458"/>
      <c r="F6" s="1459"/>
      <c r="G6" s="1459"/>
      <c r="H6" s="1460"/>
      <c r="I6" s="1461"/>
    </row>
    <row r="7" spans="1:11" ht="16.5" thickBot="1">
      <c r="A7" s="2255" t="s">
        <v>1456</v>
      </c>
      <c r="B7" s="2256"/>
      <c r="C7" s="2256"/>
      <c r="D7" s="2256"/>
      <c r="E7" s="2256"/>
      <c r="F7" s="2256"/>
      <c r="G7" s="2256"/>
      <c r="H7" s="2256"/>
      <c r="I7" s="2257"/>
    </row>
    <row r="8" spans="1:11" ht="15" thickBot="1"/>
    <row r="9" spans="1:11" ht="15" customHeight="1" thickTop="1">
      <c r="A9" s="1208" t="s">
        <v>6</v>
      </c>
      <c r="B9" s="2263" t="s">
        <v>1926</v>
      </c>
      <c r="C9" s="2264"/>
      <c r="D9" s="2264"/>
      <c r="E9" s="2265"/>
      <c r="F9" s="2269" t="s">
        <v>1457</v>
      </c>
      <c r="G9" s="2210" t="s">
        <v>1812</v>
      </c>
      <c r="H9" s="1209" t="s">
        <v>1458</v>
      </c>
      <c r="I9" s="1163">
        <v>45413</v>
      </c>
    </row>
    <row r="10" spans="1:11" ht="25.5">
      <c r="A10" s="1210" t="s">
        <v>1493</v>
      </c>
      <c r="B10" s="2266"/>
      <c r="C10" s="2267"/>
      <c r="D10" s="2267"/>
      <c r="E10" s="2268"/>
      <c r="F10" s="2270"/>
      <c r="G10" s="2211"/>
      <c r="H10" s="1211" t="s">
        <v>1460</v>
      </c>
      <c r="I10" s="1212" t="s">
        <v>784</v>
      </c>
    </row>
    <row r="11" spans="1:11">
      <c r="A11" s="2271" t="s">
        <v>1461</v>
      </c>
      <c r="B11" s="2273" t="s">
        <v>5</v>
      </c>
      <c r="C11" s="2274"/>
      <c r="D11" s="2274"/>
      <c r="E11" s="2275"/>
      <c r="F11" s="2279" t="s">
        <v>21</v>
      </c>
      <c r="G11" s="2279" t="s">
        <v>1462</v>
      </c>
      <c r="H11" s="2279" t="s">
        <v>24</v>
      </c>
      <c r="I11" s="2260" t="s">
        <v>787</v>
      </c>
    </row>
    <row r="12" spans="1:11" ht="15" thickBot="1">
      <c r="A12" s="2272"/>
      <c r="B12" s="2276"/>
      <c r="C12" s="2277"/>
      <c r="D12" s="2277"/>
      <c r="E12" s="2278"/>
      <c r="F12" s="2280"/>
      <c r="G12" s="2280"/>
      <c r="H12" s="2280"/>
      <c r="I12" s="2261"/>
    </row>
    <row r="13" spans="1:11" ht="15.75" thickTop="1" thickBot="1">
      <c r="A13" s="2284" t="s">
        <v>1463</v>
      </c>
      <c r="B13" s="2285"/>
      <c r="C13" s="2285"/>
      <c r="D13" s="2285"/>
      <c r="E13" s="2285"/>
      <c r="F13" s="2285"/>
      <c r="G13" s="2285"/>
      <c r="H13" s="2285"/>
      <c r="I13" s="2286"/>
    </row>
    <row r="14" spans="1:11" ht="15" thickTop="1">
      <c r="A14" s="1213"/>
      <c r="B14" s="2287"/>
      <c r="C14" s="2288"/>
      <c r="D14" s="2288"/>
      <c r="E14" s="2289"/>
      <c r="F14" s="1214"/>
      <c r="G14" s="1215"/>
      <c r="H14" s="1216"/>
      <c r="I14" s="1217">
        <v>0</v>
      </c>
    </row>
    <row r="15" spans="1:11">
      <c r="A15" s="1218"/>
      <c r="B15" s="2290"/>
      <c r="C15" s="2291"/>
      <c r="D15" s="2291"/>
      <c r="E15" s="2292"/>
      <c r="F15" s="1219"/>
      <c r="G15" s="1220"/>
      <c r="H15" s="1221"/>
      <c r="I15" s="1217">
        <v>0</v>
      </c>
    </row>
    <row r="16" spans="1:11" hidden="1">
      <c r="A16" s="1218"/>
      <c r="B16" s="1222"/>
      <c r="C16" s="1222"/>
      <c r="D16" s="1222"/>
      <c r="E16" s="1222"/>
      <c r="F16" s="1219"/>
      <c r="G16" s="1220"/>
      <c r="H16" s="1221"/>
      <c r="I16" s="1217">
        <v>0</v>
      </c>
    </row>
    <row r="17" spans="1:9" hidden="1">
      <c r="A17" s="1218"/>
      <c r="B17" s="1222"/>
      <c r="C17" s="1222"/>
      <c r="D17" s="1222"/>
      <c r="E17" s="1222"/>
      <c r="F17" s="1219"/>
      <c r="G17" s="1220"/>
      <c r="H17" s="1221"/>
      <c r="I17" s="1217">
        <v>0</v>
      </c>
    </row>
    <row r="18" spans="1:9" hidden="1">
      <c r="A18" s="1218"/>
      <c r="B18" s="1222"/>
      <c r="C18" s="1222"/>
      <c r="D18" s="1222"/>
      <c r="E18" s="1222"/>
      <c r="F18" s="1219"/>
      <c r="G18" s="1220"/>
      <c r="H18" s="1221"/>
      <c r="I18" s="1217">
        <v>0</v>
      </c>
    </row>
    <row r="19" spans="1:9" hidden="1">
      <c r="A19" s="1218"/>
      <c r="B19" s="1222"/>
      <c r="C19" s="1222"/>
      <c r="D19" s="1222"/>
      <c r="E19" s="1222"/>
      <c r="F19" s="1219"/>
      <c r="G19" s="1220"/>
      <c r="H19" s="1221"/>
      <c r="I19" s="1217">
        <v>0</v>
      </c>
    </row>
    <row r="20" spans="1:9" ht="15" thickBot="1">
      <c r="A20" s="2293" t="s">
        <v>22</v>
      </c>
      <c r="B20" s="2294"/>
      <c r="C20" s="2294"/>
      <c r="D20" s="2294"/>
      <c r="E20" s="2294"/>
      <c r="F20" s="2294"/>
      <c r="G20" s="2294"/>
      <c r="H20" s="2295"/>
      <c r="I20" s="1223">
        <f>SUM(I18:I19)</f>
        <v>0</v>
      </c>
    </row>
    <row r="21" spans="1:9" ht="15.75" thickTop="1" thickBot="1">
      <c r="A21" s="2284" t="s">
        <v>188</v>
      </c>
      <c r="B21" s="2285"/>
      <c r="C21" s="2285"/>
      <c r="D21" s="2285"/>
      <c r="E21" s="2285"/>
      <c r="F21" s="2285"/>
      <c r="G21" s="2285"/>
      <c r="H21" s="2285"/>
      <c r="I21" s="2286"/>
    </row>
    <row r="22" spans="1:9" ht="15" thickTop="1">
      <c r="A22" s="1213"/>
      <c r="B22" s="2287"/>
      <c r="C22" s="2288"/>
      <c r="D22" s="2288"/>
      <c r="E22" s="2289"/>
      <c r="F22" s="1214"/>
      <c r="G22" s="1215"/>
      <c r="H22" s="1224"/>
      <c r="I22" s="1225">
        <f t="shared" ref="I22:I27" si="0">ROUND(G22*H22,2)</f>
        <v>0</v>
      </c>
    </row>
    <row r="23" spans="1:9">
      <c r="A23" s="1213"/>
      <c r="B23" s="2290"/>
      <c r="C23" s="2291"/>
      <c r="D23" s="2291"/>
      <c r="E23" s="2292"/>
      <c r="F23" s="1214"/>
      <c r="G23" s="1215"/>
      <c r="H23" s="1224"/>
      <c r="I23" s="1226">
        <f t="shared" si="0"/>
        <v>0</v>
      </c>
    </row>
    <row r="24" spans="1:9" hidden="1">
      <c r="A24" s="1213"/>
      <c r="B24" s="2290"/>
      <c r="C24" s="2291"/>
      <c r="D24" s="2291"/>
      <c r="E24" s="2292"/>
      <c r="F24" s="1214"/>
      <c r="G24" s="1215"/>
      <c r="H24" s="1224"/>
      <c r="I24" s="1226">
        <f t="shared" si="0"/>
        <v>0</v>
      </c>
    </row>
    <row r="25" spans="1:9" hidden="1">
      <c r="A25" s="1213"/>
      <c r="B25" s="2290"/>
      <c r="C25" s="2291"/>
      <c r="D25" s="2291"/>
      <c r="E25" s="2292"/>
      <c r="F25" s="1214"/>
      <c r="G25" s="1215"/>
      <c r="H25" s="1224"/>
      <c r="I25" s="1226">
        <f t="shared" si="0"/>
        <v>0</v>
      </c>
    </row>
    <row r="26" spans="1:9" hidden="1">
      <c r="A26" s="1213"/>
      <c r="B26" s="2290"/>
      <c r="C26" s="2291"/>
      <c r="D26" s="2291"/>
      <c r="E26" s="2292"/>
      <c r="F26" s="1214"/>
      <c r="G26" s="1215"/>
      <c r="H26" s="1224"/>
      <c r="I26" s="1226">
        <f t="shared" si="0"/>
        <v>0</v>
      </c>
    </row>
    <row r="27" spans="1:9" hidden="1">
      <c r="A27" s="1218"/>
      <c r="B27" s="2290"/>
      <c r="C27" s="2291"/>
      <c r="D27" s="2291"/>
      <c r="E27" s="2292"/>
      <c r="F27" s="1219"/>
      <c r="G27" s="1220"/>
      <c r="H27" s="1227"/>
      <c r="I27" s="1226">
        <f t="shared" si="0"/>
        <v>0</v>
      </c>
    </row>
    <row r="28" spans="1:9" ht="15" thickBot="1">
      <c r="A28" s="2281"/>
      <c r="B28" s="2282"/>
      <c r="C28" s="2282"/>
      <c r="D28" s="2282"/>
      <c r="E28" s="2282"/>
      <c r="F28" s="2282"/>
      <c r="G28" s="2283"/>
      <c r="H28" s="1228" t="s">
        <v>22</v>
      </c>
      <c r="I28" s="1223">
        <f>SUM(I22:I27)</f>
        <v>0</v>
      </c>
    </row>
    <row r="29" spans="1:9" ht="15.75" thickTop="1" thickBot="1">
      <c r="A29" s="2284" t="s">
        <v>1475</v>
      </c>
      <c r="B29" s="2285"/>
      <c r="C29" s="2285"/>
      <c r="D29" s="2285"/>
      <c r="E29" s="2285"/>
      <c r="F29" s="2285"/>
      <c r="G29" s="2285"/>
      <c r="H29" s="2285"/>
      <c r="I29" s="2286"/>
    </row>
    <row r="30" spans="1:9" ht="26.25" thickTop="1">
      <c r="A30" s="1229" t="s">
        <v>186</v>
      </c>
      <c r="B30" s="1230" t="s">
        <v>1494</v>
      </c>
      <c r="C30" s="1230" t="s">
        <v>1495</v>
      </c>
      <c r="D30" s="1230" t="s">
        <v>761</v>
      </c>
      <c r="E30" s="1230" t="s">
        <v>682</v>
      </c>
      <c r="F30" s="1230" t="s">
        <v>1496</v>
      </c>
      <c r="G30" s="1230" t="s">
        <v>360</v>
      </c>
      <c r="H30" s="1230" t="s">
        <v>1497</v>
      </c>
      <c r="I30" s="1231" t="s">
        <v>1498</v>
      </c>
    </row>
    <row r="31" spans="1:9" ht="25.5">
      <c r="A31" s="1420">
        <v>88907</v>
      </c>
      <c r="B31" s="1232" t="s">
        <v>1499</v>
      </c>
      <c r="C31" s="1233">
        <v>50</v>
      </c>
      <c r="D31" s="1233">
        <v>4</v>
      </c>
      <c r="E31" s="1234">
        <v>2</v>
      </c>
      <c r="F31" s="1234">
        <v>1</v>
      </c>
      <c r="G31" s="1234">
        <v>60</v>
      </c>
      <c r="H31" s="1235">
        <v>248.45</v>
      </c>
      <c r="I31" s="1236">
        <f>ROUND(D31*((E31*F31*C31)/G31*H31),2)</f>
        <v>1656.33</v>
      </c>
    </row>
    <row r="32" spans="1:9" ht="25.5">
      <c r="A32" s="1421">
        <v>7049</v>
      </c>
      <c r="B32" s="1222" t="s">
        <v>1500</v>
      </c>
      <c r="C32" s="1237">
        <v>50</v>
      </c>
      <c r="D32" s="1237">
        <v>2</v>
      </c>
      <c r="E32" s="1238">
        <v>2</v>
      </c>
      <c r="F32" s="1238">
        <v>0.5</v>
      </c>
      <c r="G32" s="1238">
        <v>60</v>
      </c>
      <c r="H32" s="1239">
        <v>223.34</v>
      </c>
      <c r="I32" s="1226">
        <f t="shared" ref="I32:I44" si="1">ROUND(D32*((E32*F32*C32)/G32*H32),2)</f>
        <v>372.23</v>
      </c>
    </row>
    <row r="33" spans="1:11" ht="25.5">
      <c r="A33" s="1421">
        <v>5932</v>
      </c>
      <c r="B33" s="1222" t="s">
        <v>1501</v>
      </c>
      <c r="C33" s="1237">
        <v>50</v>
      </c>
      <c r="D33" s="1237">
        <v>1</v>
      </c>
      <c r="E33" s="1238">
        <v>2</v>
      </c>
      <c r="F33" s="1238">
        <v>1</v>
      </c>
      <c r="G33" s="1238">
        <v>60</v>
      </c>
      <c r="H33" s="1239">
        <v>269.61</v>
      </c>
      <c r="I33" s="1226">
        <f t="shared" si="1"/>
        <v>449.35</v>
      </c>
    </row>
    <row r="34" spans="1:11" ht="25.5">
      <c r="A34" s="1421">
        <v>89257</v>
      </c>
      <c r="B34" s="1222" t="s">
        <v>1502</v>
      </c>
      <c r="C34" s="1237">
        <v>100</v>
      </c>
      <c r="D34" s="1237"/>
      <c r="E34" s="1238">
        <v>2</v>
      </c>
      <c r="F34" s="1238">
        <v>0.5</v>
      </c>
      <c r="G34" s="1238">
        <v>60</v>
      </c>
      <c r="H34" s="1239">
        <v>302.60000000000002</v>
      </c>
      <c r="I34" s="1226">
        <f t="shared" si="1"/>
        <v>0</v>
      </c>
    </row>
    <row r="35" spans="1:11" ht="25.5">
      <c r="A35" s="1421" t="s">
        <v>1503</v>
      </c>
      <c r="B35" s="1222" t="s">
        <v>1504</v>
      </c>
      <c r="C35" s="1237">
        <v>50</v>
      </c>
      <c r="D35" s="1237">
        <v>2</v>
      </c>
      <c r="E35" s="1238">
        <v>2</v>
      </c>
      <c r="F35" s="1238">
        <v>1</v>
      </c>
      <c r="G35" s="1238">
        <v>60</v>
      </c>
      <c r="H35" s="1239">
        <v>151.07</v>
      </c>
      <c r="I35" s="1226">
        <f t="shared" si="1"/>
        <v>503.57</v>
      </c>
    </row>
    <row r="36" spans="1:11" ht="25.5">
      <c r="A36" s="1421">
        <v>5867</v>
      </c>
      <c r="B36" s="1222" t="s">
        <v>1505</v>
      </c>
      <c r="C36" s="1237">
        <v>50</v>
      </c>
      <c r="D36" s="1237">
        <v>0</v>
      </c>
      <c r="E36" s="1238">
        <v>2</v>
      </c>
      <c r="F36" s="1238">
        <v>0.5</v>
      </c>
      <c r="G36" s="1238">
        <v>60</v>
      </c>
      <c r="H36" s="1239">
        <v>161.51</v>
      </c>
      <c r="I36" s="1226">
        <f t="shared" si="1"/>
        <v>0</v>
      </c>
    </row>
    <row r="37" spans="1:11" ht="25.5">
      <c r="A37" s="1421">
        <v>6879</v>
      </c>
      <c r="B37" s="1222" t="s">
        <v>1506</v>
      </c>
      <c r="C37" s="1237">
        <v>50</v>
      </c>
      <c r="D37" s="1237">
        <v>0</v>
      </c>
      <c r="E37" s="1238">
        <v>2</v>
      </c>
      <c r="F37" s="1238">
        <v>0.5</v>
      </c>
      <c r="G37" s="1238">
        <v>60</v>
      </c>
      <c r="H37" s="1239">
        <v>211.79</v>
      </c>
      <c r="I37" s="1226">
        <f t="shared" si="1"/>
        <v>0</v>
      </c>
    </row>
    <row r="38" spans="1:11" ht="25.5">
      <c r="A38" s="1421">
        <v>89035</v>
      </c>
      <c r="B38" s="1222" t="s">
        <v>1507</v>
      </c>
      <c r="C38" s="1237">
        <v>50</v>
      </c>
      <c r="D38" s="1237"/>
      <c r="E38" s="1238">
        <v>2</v>
      </c>
      <c r="F38" s="1238">
        <v>0.5</v>
      </c>
      <c r="G38" s="1238">
        <v>60</v>
      </c>
      <c r="H38" s="1239">
        <v>124.44</v>
      </c>
      <c r="I38" s="1226">
        <f t="shared" si="1"/>
        <v>0</v>
      </c>
    </row>
    <row r="39" spans="1:11" ht="25.5">
      <c r="A39" s="1421">
        <v>93433</v>
      </c>
      <c r="B39" s="1222" t="s">
        <v>1508</v>
      </c>
      <c r="C39" s="1237">
        <v>150</v>
      </c>
      <c r="D39" s="1237"/>
      <c r="E39" s="1238">
        <v>2</v>
      </c>
      <c r="F39" s="1238">
        <v>3</v>
      </c>
      <c r="G39" s="1238">
        <v>40</v>
      </c>
      <c r="H39" s="1239">
        <v>2733.02</v>
      </c>
      <c r="I39" s="1226">
        <f t="shared" si="1"/>
        <v>0</v>
      </c>
    </row>
    <row r="40" spans="1:11" ht="25.5">
      <c r="A40" s="1421">
        <v>7030</v>
      </c>
      <c r="B40" s="1222" t="s">
        <v>1509</v>
      </c>
      <c r="C40" s="1237">
        <v>150</v>
      </c>
      <c r="D40" s="1237"/>
      <c r="E40" s="1238">
        <v>2</v>
      </c>
      <c r="F40" s="1238">
        <v>1</v>
      </c>
      <c r="G40" s="1238">
        <v>50</v>
      </c>
      <c r="H40" s="1239">
        <v>273.02999999999997</v>
      </c>
      <c r="I40" s="1226">
        <f t="shared" si="1"/>
        <v>0</v>
      </c>
    </row>
    <row r="41" spans="1:11" ht="25.5">
      <c r="A41" s="1421">
        <v>73417</v>
      </c>
      <c r="B41" s="1222" t="s">
        <v>1510</v>
      </c>
      <c r="C41" s="1237">
        <v>188.55558208955401</v>
      </c>
      <c r="D41" s="1237"/>
      <c r="E41" s="1238">
        <v>1</v>
      </c>
      <c r="F41" s="1238">
        <v>0.5</v>
      </c>
      <c r="G41" s="1238">
        <v>60</v>
      </c>
      <c r="H41" s="1239">
        <v>195.12</v>
      </c>
      <c r="I41" s="1226">
        <f t="shared" si="1"/>
        <v>0</v>
      </c>
    </row>
    <row r="42" spans="1:11" ht="76.5">
      <c r="A42" s="1421">
        <v>83362</v>
      </c>
      <c r="B42" s="1222" t="s">
        <v>582</v>
      </c>
      <c r="C42" s="1237">
        <v>100</v>
      </c>
      <c r="D42" s="1237"/>
      <c r="E42" s="1238">
        <v>2</v>
      </c>
      <c r="F42" s="1238">
        <v>1</v>
      </c>
      <c r="G42" s="1238">
        <v>60</v>
      </c>
      <c r="H42" s="1239">
        <v>273.48</v>
      </c>
      <c r="I42" s="1226">
        <f>ROUND(D42*((E42*F42*C42)/G42*H42),2)</f>
        <v>0</v>
      </c>
    </row>
    <row r="43" spans="1:11">
      <c r="A43" s="1421" t="s">
        <v>1511</v>
      </c>
      <c r="B43" s="1222" t="s">
        <v>1512</v>
      </c>
      <c r="C43" s="1237">
        <v>100</v>
      </c>
      <c r="D43" s="1237">
        <v>4</v>
      </c>
      <c r="E43" s="1238">
        <v>2</v>
      </c>
      <c r="F43" s="1238">
        <v>1</v>
      </c>
      <c r="G43" s="1238">
        <v>60</v>
      </c>
      <c r="H43" s="1239">
        <v>274.42</v>
      </c>
      <c r="I43" s="1226">
        <f>ROUND(D43*((E43*F43*C43)/G43*H43),2)</f>
        <v>3658.93</v>
      </c>
    </row>
    <row r="44" spans="1:11" ht="38.25">
      <c r="A44" s="1421">
        <v>91386</v>
      </c>
      <c r="B44" s="1222" t="s">
        <v>1513</v>
      </c>
      <c r="C44" s="1237">
        <v>150</v>
      </c>
      <c r="D44" s="1237">
        <v>30</v>
      </c>
      <c r="E44" s="1238">
        <v>2</v>
      </c>
      <c r="F44" s="1238">
        <v>1</v>
      </c>
      <c r="G44" s="1238">
        <v>60</v>
      </c>
      <c r="H44" s="1239">
        <v>265.44</v>
      </c>
      <c r="I44" s="1226">
        <f t="shared" si="1"/>
        <v>39816</v>
      </c>
    </row>
    <row r="45" spans="1:11" ht="15" thickBot="1">
      <c r="A45" s="2301"/>
      <c r="B45" s="2302"/>
      <c r="C45" s="2302"/>
      <c r="D45" s="2302"/>
      <c r="E45" s="2302"/>
      <c r="F45" s="2302"/>
      <c r="G45" s="2303"/>
      <c r="H45" s="1240" t="s">
        <v>22</v>
      </c>
      <c r="I45" s="1241">
        <f>SUM(I31:I44)</f>
        <v>46456.41</v>
      </c>
    </row>
    <row r="46" spans="1:11" ht="15.75" thickTop="1" thickBot="1">
      <c r="A46" s="2284" t="s">
        <v>1476</v>
      </c>
      <c r="B46" s="2285"/>
      <c r="C46" s="2285"/>
      <c r="D46" s="2285"/>
      <c r="E46" s="2285"/>
      <c r="F46" s="2285"/>
      <c r="G46" s="2285"/>
      <c r="H46" s="2285"/>
      <c r="I46" s="2286"/>
      <c r="K46" s="1242"/>
    </row>
    <row r="47" spans="1:11" ht="15" thickTop="1">
      <c r="A47" s="1218"/>
      <c r="B47" s="2287"/>
      <c r="C47" s="2288"/>
      <c r="D47" s="2288"/>
      <c r="E47" s="2289"/>
      <c r="F47" s="1219"/>
      <c r="G47" s="1220"/>
      <c r="H47" s="1227"/>
      <c r="I47" s="1225">
        <f>ROUND(G47*H47,2)</f>
        <v>0</v>
      </c>
    </row>
    <row r="48" spans="1:11">
      <c r="A48" s="1218"/>
      <c r="B48" s="2290"/>
      <c r="C48" s="2291"/>
      <c r="D48" s="2291"/>
      <c r="E48" s="2292"/>
      <c r="F48" s="1219"/>
      <c r="G48" s="1220"/>
      <c r="H48" s="1227"/>
      <c r="I48" s="1226">
        <f>ROUND(G48*H48,2)</f>
        <v>0</v>
      </c>
    </row>
    <row r="49" spans="1:10" hidden="1">
      <c r="A49" s="1218"/>
      <c r="B49" s="1222"/>
      <c r="C49" s="1222"/>
      <c r="D49" s="1222"/>
      <c r="E49" s="1222"/>
      <c r="F49" s="1219"/>
      <c r="G49" s="1220"/>
      <c r="H49" s="1227"/>
      <c r="I49" s="1243">
        <f>ROUND(G49*H49,2)</f>
        <v>0</v>
      </c>
    </row>
    <row r="50" spans="1:10" ht="15" thickBot="1">
      <c r="A50" s="2281"/>
      <c r="B50" s="2282"/>
      <c r="C50" s="2282"/>
      <c r="D50" s="2282"/>
      <c r="E50" s="2282"/>
      <c r="F50" s="2282"/>
      <c r="G50" s="2283"/>
      <c r="H50" s="1228" t="s">
        <v>22</v>
      </c>
      <c r="I50" s="1223">
        <f>SUM(I47:I49)</f>
        <v>0</v>
      </c>
    </row>
    <row r="51" spans="1:10" ht="15.75" thickTop="1">
      <c r="A51" s="2296" t="s">
        <v>1481</v>
      </c>
      <c r="B51" s="2297"/>
      <c r="C51" s="2297"/>
      <c r="D51" s="2297"/>
      <c r="E51" s="2297"/>
      <c r="F51" s="2297"/>
      <c r="G51" s="2297"/>
      <c r="H51" s="2298"/>
      <c r="I51" s="1244">
        <f>I50+I45+I28+I20</f>
        <v>46456.41</v>
      </c>
      <c r="J51" s="1245"/>
    </row>
    <row r="52" spans="1:10">
      <c r="A52" s="1246" t="s">
        <v>198</v>
      </c>
      <c r="B52" s="1247"/>
      <c r="C52" s="1247"/>
      <c r="D52" s="1247"/>
      <c r="E52" s="1247"/>
      <c r="F52" s="1247"/>
      <c r="G52" s="1247"/>
      <c r="H52" s="1248">
        <v>0.27460000000000001</v>
      </c>
      <c r="I52" s="1249">
        <f>I51*H52</f>
        <v>12756.93</v>
      </c>
    </row>
    <row r="53" spans="1:10" ht="15" thickBot="1">
      <c r="A53" s="2299" t="s">
        <v>1482</v>
      </c>
      <c r="B53" s="2300"/>
      <c r="C53" s="2300"/>
      <c r="D53" s="2300"/>
      <c r="E53" s="2300"/>
      <c r="F53" s="2300"/>
      <c r="G53" s="2300"/>
      <c r="H53" s="2300"/>
      <c r="I53" s="1250">
        <f>I52+I51</f>
        <v>59213.34</v>
      </c>
    </row>
    <row r="54" spans="1:10" ht="15" thickTop="1"/>
  </sheetData>
  <mergeCells count="33">
    <mergeCell ref="A51:H51"/>
    <mergeCell ref="A53:H53"/>
    <mergeCell ref="A29:I29"/>
    <mergeCell ref="A45:G45"/>
    <mergeCell ref="A46:I46"/>
    <mergeCell ref="B47:E47"/>
    <mergeCell ref="B48:E48"/>
    <mergeCell ref="A50:G50"/>
    <mergeCell ref="A28:G28"/>
    <mergeCell ref="A13:I13"/>
    <mergeCell ref="B14:E14"/>
    <mergeCell ref="B15:E15"/>
    <mergeCell ref="A20:H20"/>
    <mergeCell ref="A21:I21"/>
    <mergeCell ref="B22:E22"/>
    <mergeCell ref="B23:E23"/>
    <mergeCell ref="B24:E24"/>
    <mergeCell ref="B25:E25"/>
    <mergeCell ref="B26:E26"/>
    <mergeCell ref="B27:E27"/>
    <mergeCell ref="I11:I12"/>
    <mergeCell ref="A2:I2"/>
    <mergeCell ref="B3:I4"/>
    <mergeCell ref="A5:I5"/>
    <mergeCell ref="A7:I7"/>
    <mergeCell ref="B9:E10"/>
    <mergeCell ref="F9:F10"/>
    <mergeCell ref="G9:G10"/>
    <mergeCell ref="A11:A12"/>
    <mergeCell ref="B11:E12"/>
    <mergeCell ref="F11:F12"/>
    <mergeCell ref="G11:G12"/>
    <mergeCell ref="H11:H12"/>
  </mergeCells>
  <printOptions horizontalCentered="1"/>
  <pageMargins left="0.51181102362204722" right="0.31496062992125984" top="0.55118110236220474" bottom="0.78740157480314965" header="0.31496062992125984" footer="0.31496062992125984"/>
  <pageSetup paperSize="9" scale="79" orientation="portrait" r:id="rId1"/>
  <headerFooter>
    <oddHeader xml:space="preserve">&amp;C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861C6-E494-4572-BC47-7C43467623A9}">
  <sheetPr codeName="Planilha28">
    <tabColor theme="7" tint="0.39997558519241921"/>
    <pageSetUpPr fitToPage="1"/>
  </sheetPr>
  <dimension ref="A1:H40"/>
  <sheetViews>
    <sheetView showGridLines="0" view="pageBreakPreview" topLeftCell="A10" zoomScaleNormal="85" zoomScaleSheetLayoutView="100" workbookViewId="0">
      <selection activeCell="J31" sqref="J31"/>
    </sheetView>
  </sheetViews>
  <sheetFormatPr defaultColWidth="9.140625" defaultRowHeight="15"/>
  <cols>
    <col min="1" max="1" width="12.42578125" style="1262" customWidth="1"/>
    <col min="2" max="2" width="43.28515625" style="1256" customWidth="1"/>
    <col min="3" max="3" width="8.42578125" style="1263" customWidth="1"/>
    <col min="4" max="4" width="12.85546875" style="1256" customWidth="1"/>
    <col min="5" max="5" width="11.85546875" style="1264" customWidth="1"/>
    <col min="6" max="6" width="17.28515625" style="1265" customWidth="1"/>
    <col min="7" max="7" width="11.85546875" style="1256" bestFit="1" customWidth="1"/>
    <col min="8" max="16384" width="9.140625" style="1256"/>
  </cols>
  <sheetData>
    <row r="1" spans="1:8" s="1251" customFormat="1">
      <c r="A1" s="1252"/>
      <c r="B1" s="1256"/>
      <c r="C1" s="1263"/>
      <c r="D1" s="1256"/>
      <c r="E1" s="1264"/>
      <c r="F1" s="1265"/>
      <c r="G1" s="1149"/>
      <c r="H1" s="1149"/>
    </row>
    <row r="2" spans="1:8" s="1251" customFormat="1">
      <c r="A2" s="2201" t="s">
        <v>18</v>
      </c>
      <c r="B2" s="2201"/>
      <c r="C2" s="2201"/>
      <c r="D2" s="2201"/>
      <c r="E2" s="2201"/>
      <c r="F2" s="2201"/>
      <c r="G2" s="1146"/>
      <c r="H2" s="1147"/>
    </row>
    <row r="3" spans="1:8" s="1251" customFormat="1">
      <c r="A3" s="1252"/>
      <c r="B3" s="2202"/>
      <c r="C3" s="2202"/>
      <c r="D3" s="2202"/>
      <c r="E3" s="2202"/>
      <c r="F3" s="2202"/>
      <c r="G3" s="1149"/>
      <c r="H3" s="1149"/>
    </row>
    <row r="4" spans="1:8" s="1251" customFormat="1">
      <c r="A4" s="1252"/>
      <c r="B4" s="2202"/>
      <c r="C4" s="2202"/>
      <c r="D4" s="2202"/>
      <c r="E4" s="2202"/>
      <c r="F4" s="2202"/>
      <c r="G4" s="1146"/>
      <c r="H4" s="1150"/>
    </row>
    <row r="5" spans="1:8" s="1251" customFormat="1" ht="15.75" thickBot="1">
      <c r="A5" s="2201"/>
      <c r="B5" s="2201"/>
      <c r="C5" s="2201"/>
      <c r="D5" s="2201"/>
      <c r="E5" s="2201"/>
      <c r="F5" s="2201"/>
      <c r="G5" s="1146"/>
      <c r="H5" s="1150"/>
    </row>
    <row r="6" spans="1:8" ht="18.75" thickBot="1">
      <c r="A6" s="2203" t="s">
        <v>1456</v>
      </c>
      <c r="B6" s="2204"/>
      <c r="C6" s="2204"/>
      <c r="D6" s="2204"/>
      <c r="E6" s="2204"/>
      <c r="F6" s="2205"/>
    </row>
    <row r="7" spans="1:8" ht="15.75" thickBot="1"/>
    <row r="8" spans="1:8" ht="15" customHeight="1" thickTop="1">
      <c r="A8" s="1266" t="s">
        <v>6</v>
      </c>
      <c r="B8" s="2206" t="s">
        <v>1524</v>
      </c>
      <c r="C8" s="2208" t="s">
        <v>1457</v>
      </c>
      <c r="D8" s="2210" t="s">
        <v>1812</v>
      </c>
      <c r="E8" s="1267" t="s">
        <v>1458</v>
      </c>
      <c r="F8" s="1163">
        <v>45413</v>
      </c>
    </row>
    <row r="9" spans="1:8">
      <c r="A9" s="1268" t="s">
        <v>972</v>
      </c>
      <c r="B9" s="2207"/>
      <c r="C9" s="2209"/>
      <c r="D9" s="2211"/>
      <c r="E9" s="1269" t="s">
        <v>1460</v>
      </c>
      <c r="F9" s="1270" t="s">
        <v>512</v>
      </c>
    </row>
    <row r="10" spans="1:8">
      <c r="A10" s="2212" t="s">
        <v>1461</v>
      </c>
      <c r="B10" s="2214" t="s">
        <v>5</v>
      </c>
      <c r="C10" s="2214" t="s">
        <v>21</v>
      </c>
      <c r="D10" s="2214" t="s">
        <v>1462</v>
      </c>
      <c r="E10" s="2214" t="s">
        <v>24</v>
      </c>
      <c r="F10" s="2199" t="s">
        <v>787</v>
      </c>
    </row>
    <row r="11" spans="1:8" ht="15.75" thickBot="1">
      <c r="A11" s="2213"/>
      <c r="B11" s="2215"/>
      <c r="C11" s="2216"/>
      <c r="D11" s="2216"/>
      <c r="E11" s="2216"/>
      <c r="F11" s="2200"/>
    </row>
    <row r="12" spans="1:8" ht="16.5" thickTop="1" thickBot="1">
      <c r="A12" s="2182" t="s">
        <v>1463</v>
      </c>
      <c r="B12" s="2183"/>
      <c r="C12" s="2183"/>
      <c r="D12" s="2183"/>
      <c r="E12" s="2183"/>
      <c r="F12" s="2184"/>
    </row>
    <row r="13" spans="1:8" ht="15.75" thickTop="1">
      <c r="A13" s="1271"/>
      <c r="B13" s="1272"/>
      <c r="C13" s="1273"/>
      <c r="D13" s="1274"/>
      <c r="E13" s="1275"/>
      <c r="F13" s="1276">
        <f>E13*D13</f>
        <v>0</v>
      </c>
    </row>
    <row r="14" spans="1:8">
      <c r="A14" s="1277"/>
      <c r="B14" s="1278"/>
      <c r="C14" s="1279"/>
      <c r="D14" s="1280"/>
      <c r="E14" s="1281"/>
      <c r="F14" s="1276">
        <f>E14*D14</f>
        <v>0</v>
      </c>
    </row>
    <row r="15" spans="1:8" hidden="1">
      <c r="A15" s="1277"/>
      <c r="B15" s="1278"/>
      <c r="C15" s="1279"/>
      <c r="D15" s="1280"/>
      <c r="E15" s="1281"/>
      <c r="F15" s="1282">
        <v>0</v>
      </c>
    </row>
    <row r="16" spans="1:8" hidden="1">
      <c r="A16" s="1277"/>
      <c r="B16" s="1278"/>
      <c r="C16" s="1279"/>
      <c r="D16" s="1280"/>
      <c r="E16" s="1281"/>
      <c r="F16" s="1282">
        <v>0</v>
      </c>
    </row>
    <row r="17" spans="1:7" hidden="1">
      <c r="A17" s="1277"/>
      <c r="B17" s="1278"/>
      <c r="C17" s="1279"/>
      <c r="D17" s="1280"/>
      <c r="E17" s="1281"/>
      <c r="F17" s="1282">
        <v>0</v>
      </c>
    </row>
    <row r="18" spans="1:7" hidden="1">
      <c r="A18" s="1277"/>
      <c r="B18" s="1278"/>
      <c r="C18" s="1279"/>
      <c r="D18" s="1280"/>
      <c r="E18" s="1281"/>
      <c r="F18" s="1282">
        <v>0</v>
      </c>
    </row>
    <row r="19" spans="1:7" ht="15.75" thickBot="1">
      <c r="A19" s="2193" t="s">
        <v>22</v>
      </c>
      <c r="B19" s="2194"/>
      <c r="C19" s="2194"/>
      <c r="D19" s="2194"/>
      <c r="E19" s="2195"/>
      <c r="F19" s="1283">
        <f>SUM(F13:F18)</f>
        <v>0</v>
      </c>
    </row>
    <row r="20" spans="1:7" ht="16.5" thickTop="1" thickBot="1">
      <c r="A20" s="2182" t="s">
        <v>188</v>
      </c>
      <c r="B20" s="2183"/>
      <c r="C20" s="2183"/>
      <c r="D20" s="2183"/>
      <c r="E20" s="2183"/>
      <c r="F20" s="2184"/>
    </row>
    <row r="21" spans="1:7" ht="15.75" thickTop="1">
      <c r="A21" s="1419" t="s">
        <v>42</v>
      </c>
      <c r="B21" s="1278" t="s">
        <v>189</v>
      </c>
      <c r="C21" s="1279" t="s">
        <v>229</v>
      </c>
      <c r="D21" s="1280">
        <f>D27</f>
        <v>0.06</v>
      </c>
      <c r="E21" s="1284">
        <f>Composição5!E21</f>
        <v>19.940000000000001</v>
      </c>
      <c r="F21" s="1276">
        <f>E21*D21</f>
        <v>1.2</v>
      </c>
      <c r="G21" s="1256" t="s">
        <v>1486</v>
      </c>
    </row>
    <row r="22" spans="1:7">
      <c r="A22" s="1271"/>
      <c r="B22" s="1272"/>
      <c r="C22" s="1273"/>
      <c r="D22" s="1274"/>
      <c r="E22" s="1285"/>
      <c r="F22" s="1276">
        <f>E22*D22</f>
        <v>0</v>
      </c>
    </row>
    <row r="23" spans="1:7" hidden="1">
      <c r="A23" s="1271"/>
      <c r="B23" s="1272"/>
      <c r="C23" s="1273"/>
      <c r="D23" s="1274"/>
      <c r="E23" s="1285"/>
      <c r="F23" s="1276">
        <v>0</v>
      </c>
    </row>
    <row r="24" spans="1:7" hidden="1">
      <c r="A24" s="1277"/>
      <c r="B24" s="1278"/>
      <c r="C24" s="1279"/>
      <c r="D24" s="1280"/>
      <c r="E24" s="1284"/>
      <c r="F24" s="1276">
        <v>0</v>
      </c>
    </row>
    <row r="25" spans="1:7" ht="15.75" thickBot="1">
      <c r="A25" s="2185"/>
      <c r="B25" s="2186"/>
      <c r="C25" s="2186"/>
      <c r="D25" s="2187"/>
      <c r="E25" s="1286" t="s">
        <v>22</v>
      </c>
      <c r="F25" s="1283">
        <f>SUM(F21:F24)</f>
        <v>1.2</v>
      </c>
    </row>
    <row r="26" spans="1:7" ht="16.5" thickTop="1" thickBot="1">
      <c r="A26" s="2182" t="s">
        <v>1475</v>
      </c>
      <c r="B26" s="2183"/>
      <c r="C26" s="2183"/>
      <c r="D26" s="2183"/>
      <c r="E26" s="2183"/>
      <c r="F26" s="2184"/>
      <c r="G26" s="1256" t="s">
        <v>1486</v>
      </c>
    </row>
    <row r="27" spans="1:7" ht="39" thickTop="1">
      <c r="A27" s="1419" t="s">
        <v>1515</v>
      </c>
      <c r="B27" s="1278" t="s">
        <v>1516</v>
      </c>
      <c r="C27" s="1279" t="s">
        <v>174</v>
      </c>
      <c r="D27" s="1280">
        <v>0.06</v>
      </c>
      <c r="E27" s="1184">
        <f>Composição5!E27</f>
        <v>248.45</v>
      </c>
      <c r="F27" s="1276">
        <f>E27*D27</f>
        <v>14.91</v>
      </c>
      <c r="G27" s="1256" t="s">
        <v>1486</v>
      </c>
    </row>
    <row r="28" spans="1:7">
      <c r="A28" s="1419" t="s">
        <v>1517</v>
      </c>
      <c r="B28" s="1278" t="s">
        <v>1518</v>
      </c>
      <c r="C28" s="1279" t="s">
        <v>174</v>
      </c>
      <c r="D28" s="1280">
        <f>$D$27/3</f>
        <v>0.02</v>
      </c>
      <c r="E28" s="1184">
        <f>Composição5!E28</f>
        <v>258.11</v>
      </c>
      <c r="F28" s="1276">
        <f>E28*D28</f>
        <v>5.16</v>
      </c>
      <c r="G28" s="1256" t="s">
        <v>1486</v>
      </c>
    </row>
    <row r="29" spans="1:7">
      <c r="A29" s="1419" t="s">
        <v>1519</v>
      </c>
      <c r="B29" s="1278" t="s">
        <v>1520</v>
      </c>
      <c r="C29" s="1279" t="s">
        <v>174</v>
      </c>
      <c r="D29" s="1280">
        <f>$D$27/3</f>
        <v>0.02</v>
      </c>
      <c r="E29" s="1184">
        <f>Composição5!E29</f>
        <v>251.63</v>
      </c>
      <c r="F29" s="1276">
        <f>E29*D29</f>
        <v>5.03</v>
      </c>
      <c r="G29" s="1256" t="s">
        <v>1486</v>
      </c>
    </row>
    <row r="30" spans="1:7">
      <c r="A30" s="1419" t="s">
        <v>1521</v>
      </c>
      <c r="B30" s="1278" t="s">
        <v>1522</v>
      </c>
      <c r="C30" s="1279" t="s">
        <v>174</v>
      </c>
      <c r="D30" s="1280">
        <f>$D$27</f>
        <v>0.06</v>
      </c>
      <c r="E30" s="1184">
        <f>Composição5!E30</f>
        <v>201.19</v>
      </c>
      <c r="F30" s="1276">
        <f>E30*D30</f>
        <v>12.07</v>
      </c>
      <c r="G30" s="1256" t="s">
        <v>1486</v>
      </c>
    </row>
    <row r="31" spans="1:7" ht="15.75" thickBot="1">
      <c r="A31" s="2196"/>
      <c r="B31" s="2197"/>
      <c r="C31" s="2197"/>
      <c r="D31" s="2198"/>
      <c r="E31" s="1286" t="s">
        <v>22</v>
      </c>
      <c r="F31" s="1283">
        <f>SUM(F27:F30)</f>
        <v>37.17</v>
      </c>
    </row>
    <row r="32" spans="1:7" ht="16.5" thickTop="1" thickBot="1">
      <c r="A32" s="2182" t="s">
        <v>1476</v>
      </c>
      <c r="B32" s="2183"/>
      <c r="C32" s="2183"/>
      <c r="D32" s="2183"/>
      <c r="E32" s="2183"/>
      <c r="F32" s="2184"/>
    </row>
    <row r="33" spans="1:7" ht="15.75" thickTop="1">
      <c r="A33" s="1277"/>
      <c r="B33" s="1278"/>
      <c r="C33" s="1279"/>
      <c r="D33" s="1280"/>
      <c r="E33" s="1284"/>
      <c r="F33" s="1276">
        <f>E33*D33</f>
        <v>0</v>
      </c>
    </row>
    <row r="34" spans="1:7">
      <c r="A34" s="1277"/>
      <c r="B34" s="1278"/>
      <c r="C34" s="1279"/>
      <c r="D34" s="1280"/>
      <c r="E34" s="1284"/>
      <c r="F34" s="1276">
        <f>E34*D34</f>
        <v>0</v>
      </c>
    </row>
    <row r="35" spans="1:7" hidden="1">
      <c r="A35" s="1277"/>
      <c r="B35" s="1278"/>
      <c r="C35" s="1279"/>
      <c r="D35" s="1280"/>
      <c r="E35" s="1284"/>
      <c r="F35" s="1276">
        <v>0</v>
      </c>
    </row>
    <row r="36" spans="1:7" ht="15.75" thickBot="1">
      <c r="A36" s="2185"/>
      <c r="B36" s="2186"/>
      <c r="C36" s="2186"/>
      <c r="D36" s="2187"/>
      <c r="E36" s="1286" t="s">
        <v>22</v>
      </c>
      <c r="F36" s="1283">
        <f>SUM(F33:F35)</f>
        <v>0</v>
      </c>
    </row>
    <row r="37" spans="1:7" ht="15.75" thickTop="1">
      <c r="A37" s="2188" t="s">
        <v>1481</v>
      </c>
      <c r="B37" s="2189"/>
      <c r="C37" s="2189"/>
      <c r="D37" s="2189"/>
      <c r="E37" s="2190"/>
      <c r="F37" s="1287">
        <f>SUM(F36,F31,F25,F19)</f>
        <v>38.369999999999997</v>
      </c>
      <c r="G37" s="1288" t="e">
        <f>VLOOKUP(A9,#REF!,5,0)=F37</f>
        <v>#REF!</v>
      </c>
    </row>
    <row r="38" spans="1:7">
      <c r="A38" s="1289" t="s">
        <v>198</v>
      </c>
      <c r="B38" s="1290"/>
      <c r="C38" s="1290"/>
      <c r="D38" s="1290"/>
      <c r="E38" s="1291">
        <v>0.27460000000000001</v>
      </c>
      <c r="F38" s="1292">
        <f>E38*F37</f>
        <v>10.54</v>
      </c>
    </row>
    <row r="39" spans="1:7" ht="15.75" thickBot="1">
      <c r="A39" s="2191" t="s">
        <v>1482</v>
      </c>
      <c r="B39" s="2192"/>
      <c r="C39" s="2192"/>
      <c r="D39" s="2192"/>
      <c r="E39" s="2192"/>
      <c r="F39" s="1293">
        <f>F38+F37</f>
        <v>48.91</v>
      </c>
    </row>
    <row r="40" spans="1:7" ht="15.75" thickTop="1"/>
  </sheetData>
  <mergeCells count="23">
    <mergeCell ref="A32:F32"/>
    <mergeCell ref="A36:D36"/>
    <mergeCell ref="A37:E37"/>
    <mergeCell ref="A39:E39"/>
    <mergeCell ref="A12:F12"/>
    <mergeCell ref="A19:E19"/>
    <mergeCell ref="A20:F20"/>
    <mergeCell ref="A25:D25"/>
    <mergeCell ref="A26:F26"/>
    <mergeCell ref="A31:D31"/>
    <mergeCell ref="F10:F11"/>
    <mergeCell ref="A2:F2"/>
    <mergeCell ref="B3:F4"/>
    <mergeCell ref="A5:F5"/>
    <mergeCell ref="A6:F6"/>
    <mergeCell ref="B8:B9"/>
    <mergeCell ref="C8:C9"/>
    <mergeCell ref="D8:D9"/>
    <mergeCell ref="A10:A11"/>
    <mergeCell ref="B10:B11"/>
    <mergeCell ref="C10:C11"/>
    <mergeCell ref="D10:D11"/>
    <mergeCell ref="E10:E11"/>
  </mergeCells>
  <printOptions horizontalCentered="1"/>
  <pageMargins left="0.51181102362204722" right="0.31496062992125984" top="0.55118110236220474" bottom="0.78740157480314965" header="0.31496062992125984" footer="0.31496062992125984"/>
  <pageSetup paperSize="9" scale="91" orientation="portrait" r:id="rId1"/>
  <headerFooter>
    <oddHeader xml:space="preserve">&amp;C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5C40-8256-4DFB-BE10-1CAC2FF7AAF7}">
  <sheetPr codeName="Planilha10">
    <tabColor theme="7" tint="0.39997558519241921"/>
    <pageSetUpPr fitToPage="1"/>
  </sheetPr>
  <dimension ref="A1:H40"/>
  <sheetViews>
    <sheetView showGridLines="0" view="pageBreakPreview" topLeftCell="A13" zoomScaleNormal="85" zoomScaleSheetLayoutView="100" workbookViewId="0">
      <selection activeCell="A38" sqref="A38:F39"/>
    </sheetView>
  </sheetViews>
  <sheetFormatPr defaultColWidth="9.140625" defaultRowHeight="15"/>
  <cols>
    <col min="1" max="1" width="12.42578125" style="1157" customWidth="1"/>
    <col min="2" max="2" width="43.28515625" style="1156" customWidth="1"/>
    <col min="3" max="3" width="8.42578125" style="1158" customWidth="1"/>
    <col min="4" max="4" width="12.85546875" style="1156" customWidth="1"/>
    <col min="5" max="5" width="11.85546875" style="1159" customWidth="1"/>
    <col min="6" max="6" width="17.28515625" style="1160" customWidth="1"/>
    <col min="7" max="7" width="11.85546875" style="1156" bestFit="1" customWidth="1"/>
    <col min="8" max="16384" width="9.140625" style="1156"/>
  </cols>
  <sheetData>
    <row r="1" spans="1:8" ht="15" customHeight="1">
      <c r="A1" s="1463"/>
      <c r="B1" s="1464"/>
      <c r="C1" s="1465"/>
      <c r="D1" s="1465"/>
      <c r="E1" s="1466"/>
      <c r="F1" s="1467"/>
    </row>
    <row r="2" spans="1:8" ht="15.75" customHeight="1">
      <c r="A2" s="1468"/>
      <c r="B2" s="1449"/>
      <c r="C2" s="1450"/>
      <c r="D2" s="1450"/>
      <c r="E2" s="1451"/>
      <c r="F2" s="1469"/>
    </row>
    <row r="3" spans="1:8" s="1148" customFormat="1">
      <c r="A3" s="2250" t="s">
        <v>18</v>
      </c>
      <c r="B3" s="2201"/>
      <c r="C3" s="2201"/>
      <c r="D3" s="2201"/>
      <c r="E3" s="2201"/>
      <c r="F3" s="2251"/>
      <c r="G3" s="1146"/>
      <c r="H3" s="1147"/>
    </row>
    <row r="4" spans="1:8" s="1148" customFormat="1">
      <c r="A4" s="2252"/>
      <c r="B4" s="2253"/>
      <c r="C4" s="2253"/>
      <c r="D4" s="2253"/>
      <c r="E4" s="2253"/>
      <c r="F4" s="2254"/>
      <c r="G4" s="1149"/>
      <c r="H4" s="1149"/>
    </row>
    <row r="5" spans="1:8" s="1148" customFormat="1" ht="15.75" thickBot="1">
      <c r="A5" s="2304"/>
      <c r="B5" s="2305"/>
      <c r="C5" s="2305"/>
      <c r="D5" s="2305"/>
      <c r="E5" s="2305"/>
      <c r="F5" s="2306"/>
      <c r="G5" s="1146"/>
      <c r="H5" s="1150"/>
    </row>
    <row r="6" spans="1:8" ht="18.75" thickBot="1">
      <c r="A6" s="2307" t="s">
        <v>1456</v>
      </c>
      <c r="B6" s="2308"/>
      <c r="C6" s="2308"/>
      <c r="D6" s="2308"/>
      <c r="E6" s="2308"/>
      <c r="F6" s="2309"/>
    </row>
    <row r="7" spans="1:8" ht="15.75" thickBot="1"/>
    <row r="8" spans="1:8" ht="15" customHeight="1" thickTop="1">
      <c r="A8" s="1161" t="s">
        <v>6</v>
      </c>
      <c r="B8" s="2258" t="s">
        <v>1514</v>
      </c>
      <c r="C8" s="2226" t="s">
        <v>1457</v>
      </c>
      <c r="D8" s="2210" t="s">
        <v>1812</v>
      </c>
      <c r="E8" s="1162" t="s">
        <v>1458</v>
      </c>
      <c r="F8" s="1163">
        <v>45413</v>
      </c>
    </row>
    <row r="9" spans="1:8">
      <c r="A9" s="1197" t="s">
        <v>1015</v>
      </c>
      <c r="B9" s="2259"/>
      <c r="C9" s="2227"/>
      <c r="D9" s="2211"/>
      <c r="E9" s="1165" t="s">
        <v>1460</v>
      </c>
      <c r="F9" s="1166" t="s">
        <v>512</v>
      </c>
    </row>
    <row r="10" spans="1:8">
      <c r="A10" s="2228" t="s">
        <v>1461</v>
      </c>
      <c r="B10" s="2230" t="s">
        <v>5</v>
      </c>
      <c r="C10" s="2230" t="s">
        <v>21</v>
      </c>
      <c r="D10" s="2230" t="s">
        <v>1462</v>
      </c>
      <c r="E10" s="2230" t="s">
        <v>24</v>
      </c>
      <c r="F10" s="2217" t="s">
        <v>787</v>
      </c>
    </row>
    <row r="11" spans="1:8" ht="15.75" thickBot="1">
      <c r="A11" s="2229"/>
      <c r="B11" s="2231"/>
      <c r="C11" s="2232"/>
      <c r="D11" s="2232"/>
      <c r="E11" s="2232"/>
      <c r="F11" s="2218"/>
    </row>
    <row r="12" spans="1:8" ht="16.5" thickTop="1" thickBot="1">
      <c r="A12" s="2233" t="s">
        <v>1463</v>
      </c>
      <c r="B12" s="2234"/>
      <c r="C12" s="2234"/>
      <c r="D12" s="2234"/>
      <c r="E12" s="2234"/>
      <c r="F12" s="2235"/>
    </row>
    <row r="13" spans="1:8" ht="15.75" thickTop="1">
      <c r="A13" s="1167"/>
      <c r="B13" s="1168"/>
      <c r="C13" s="1169"/>
      <c r="D13" s="1170"/>
      <c r="E13" s="1171"/>
      <c r="F13" s="1186">
        <f>E13*D13</f>
        <v>0</v>
      </c>
    </row>
    <row r="14" spans="1:8">
      <c r="A14" s="1173"/>
      <c r="B14" s="1174"/>
      <c r="C14" s="1175"/>
      <c r="D14" s="1176"/>
      <c r="E14" s="1177"/>
      <c r="F14" s="1186">
        <f>E14*D14</f>
        <v>0</v>
      </c>
    </row>
    <row r="15" spans="1:8" hidden="1">
      <c r="A15" s="1173"/>
      <c r="B15" s="1174"/>
      <c r="C15" s="1175"/>
      <c r="D15" s="1176"/>
      <c r="E15" s="1177"/>
      <c r="F15" s="1172">
        <v>0</v>
      </c>
    </row>
    <row r="16" spans="1:8" hidden="1">
      <c r="A16" s="1173"/>
      <c r="B16" s="1174"/>
      <c r="C16" s="1175"/>
      <c r="D16" s="1176"/>
      <c r="E16" s="1177"/>
      <c r="F16" s="1172">
        <v>0</v>
      </c>
    </row>
    <row r="17" spans="1:7" hidden="1">
      <c r="A17" s="1173"/>
      <c r="B17" s="1174"/>
      <c r="C17" s="1175"/>
      <c r="D17" s="1176"/>
      <c r="E17" s="1177"/>
      <c r="F17" s="1172">
        <v>0</v>
      </c>
    </row>
    <row r="18" spans="1:7" hidden="1">
      <c r="A18" s="1173"/>
      <c r="B18" s="1174"/>
      <c r="C18" s="1175"/>
      <c r="D18" s="1176"/>
      <c r="E18" s="1177"/>
      <c r="F18" s="1172">
        <v>0</v>
      </c>
    </row>
    <row r="19" spans="1:7" ht="15.75" thickBot="1">
      <c r="A19" s="2244" t="s">
        <v>22</v>
      </c>
      <c r="B19" s="2245"/>
      <c r="C19" s="2245"/>
      <c r="D19" s="2245"/>
      <c r="E19" s="2246"/>
      <c r="F19" s="1198">
        <f>SUM(F13:F18)</f>
        <v>0</v>
      </c>
    </row>
    <row r="20" spans="1:7" ht="16.5" thickTop="1" thickBot="1">
      <c r="A20" s="2233" t="s">
        <v>188</v>
      </c>
      <c r="B20" s="2234"/>
      <c r="C20" s="2234"/>
      <c r="D20" s="2234"/>
      <c r="E20" s="2234"/>
      <c r="F20" s="2235"/>
    </row>
    <row r="21" spans="1:7" ht="15.75" thickTop="1">
      <c r="A21" s="1418" t="s">
        <v>42</v>
      </c>
      <c r="B21" s="1174" t="s">
        <v>189</v>
      </c>
      <c r="C21" s="1175" t="s">
        <v>229</v>
      </c>
      <c r="D21" s="1176">
        <f>D27</f>
        <v>3.2083E-2</v>
      </c>
      <c r="E21" s="1180">
        <f>Composição7!E22</f>
        <v>19.940000000000001</v>
      </c>
      <c r="F21" s="1186">
        <f>E21*D21</f>
        <v>0.64</v>
      </c>
      <c r="G21" s="1156" t="s">
        <v>1486</v>
      </c>
    </row>
    <row r="22" spans="1:7">
      <c r="A22" s="1167"/>
      <c r="B22" s="1168"/>
      <c r="C22" s="1169"/>
      <c r="D22" s="1170"/>
      <c r="E22" s="1180"/>
      <c r="F22" s="1186">
        <f>E22*D22</f>
        <v>0</v>
      </c>
    </row>
    <row r="23" spans="1:7" hidden="1">
      <c r="A23" s="1167"/>
      <c r="B23" s="1168"/>
      <c r="C23" s="1169"/>
      <c r="D23" s="1170"/>
      <c r="E23" s="1180"/>
      <c r="F23" s="1186">
        <v>0</v>
      </c>
    </row>
    <row r="24" spans="1:7" hidden="1">
      <c r="A24" s="1173"/>
      <c r="B24" s="1174"/>
      <c r="C24" s="1175"/>
      <c r="D24" s="1176"/>
      <c r="E24" s="1184"/>
      <c r="F24" s="1186">
        <v>0</v>
      </c>
    </row>
    <row r="25" spans="1:7" ht="15.75" thickBot="1">
      <c r="A25" s="2236"/>
      <c r="B25" s="2237"/>
      <c r="C25" s="2237"/>
      <c r="D25" s="2238"/>
      <c r="E25" s="1185" t="s">
        <v>22</v>
      </c>
      <c r="F25" s="1198">
        <f>SUM(F21:F24)</f>
        <v>0.64</v>
      </c>
    </row>
    <row r="26" spans="1:7" ht="16.5" thickTop="1" thickBot="1">
      <c r="A26" s="2233" t="s">
        <v>1475</v>
      </c>
      <c r="B26" s="2234"/>
      <c r="C26" s="2234"/>
      <c r="D26" s="2234"/>
      <c r="E26" s="2234"/>
      <c r="F26" s="2235"/>
    </row>
    <row r="27" spans="1:7" ht="39" thickTop="1">
      <c r="A27" s="1418" t="s">
        <v>1515</v>
      </c>
      <c r="B27" s="1174" t="s">
        <v>1516</v>
      </c>
      <c r="C27" s="1175" t="s">
        <v>174</v>
      </c>
      <c r="D27" s="1176">
        <v>3.2083E-2</v>
      </c>
      <c r="E27" s="1184">
        <v>248.45</v>
      </c>
      <c r="F27" s="1186">
        <f>E27*D27</f>
        <v>7.97</v>
      </c>
      <c r="G27" s="1156" t="s">
        <v>1486</v>
      </c>
    </row>
    <row r="28" spans="1:7">
      <c r="A28" s="1418" t="s">
        <v>1517</v>
      </c>
      <c r="B28" s="1174" t="s">
        <v>1518</v>
      </c>
      <c r="C28" s="1175" t="s">
        <v>174</v>
      </c>
      <c r="D28" s="1176">
        <f>$D$27/3</f>
        <v>1.06943E-2</v>
      </c>
      <c r="E28" s="1184">
        <v>258.11</v>
      </c>
      <c r="F28" s="1186">
        <f>E28*D28</f>
        <v>2.76</v>
      </c>
      <c r="G28" s="1156" t="s">
        <v>1486</v>
      </c>
    </row>
    <row r="29" spans="1:7">
      <c r="A29" s="1418" t="s">
        <v>1519</v>
      </c>
      <c r="B29" s="1174" t="s">
        <v>1520</v>
      </c>
      <c r="C29" s="1175" t="s">
        <v>174</v>
      </c>
      <c r="D29" s="1176">
        <f>$D$27/3</f>
        <v>1.06943E-2</v>
      </c>
      <c r="E29" s="1184">
        <v>251.63</v>
      </c>
      <c r="F29" s="1186">
        <f>E29*D29</f>
        <v>2.69</v>
      </c>
      <c r="G29" s="1156" t="s">
        <v>1486</v>
      </c>
    </row>
    <row r="30" spans="1:7">
      <c r="A30" s="1418" t="s">
        <v>1521</v>
      </c>
      <c r="B30" s="1174" t="s">
        <v>1522</v>
      </c>
      <c r="C30" s="1175" t="s">
        <v>174</v>
      </c>
      <c r="D30" s="1176">
        <f>$D$27</f>
        <v>3.2083E-2</v>
      </c>
      <c r="E30" s="1184">
        <v>201.19</v>
      </c>
      <c r="F30" s="1186">
        <f>E30*D30</f>
        <v>6.45</v>
      </c>
      <c r="G30" s="1156" t="s">
        <v>1486</v>
      </c>
    </row>
    <row r="31" spans="1:7" ht="15.75" thickBot="1">
      <c r="A31" s="2247"/>
      <c r="B31" s="2248"/>
      <c r="C31" s="2248"/>
      <c r="D31" s="2249"/>
      <c r="E31" s="1185" t="s">
        <v>22</v>
      </c>
      <c r="F31" s="1198">
        <f>SUM(F27:F30)</f>
        <v>19.87</v>
      </c>
    </row>
    <row r="32" spans="1:7" ht="16.5" thickTop="1" thickBot="1">
      <c r="A32" s="2233" t="s">
        <v>1476</v>
      </c>
      <c r="B32" s="2234"/>
      <c r="C32" s="2234"/>
      <c r="D32" s="2234"/>
      <c r="E32" s="2234"/>
      <c r="F32" s="2235"/>
    </row>
    <row r="33" spans="1:7" ht="15.75" thickTop="1">
      <c r="A33" s="1173"/>
      <c r="B33" s="1174"/>
      <c r="C33" s="1175"/>
      <c r="D33" s="1176"/>
      <c r="E33" s="1184"/>
      <c r="F33" s="1186">
        <f>E33*D33</f>
        <v>0</v>
      </c>
    </row>
    <row r="34" spans="1:7">
      <c r="A34" s="1173"/>
      <c r="B34" s="1174"/>
      <c r="C34" s="1175"/>
      <c r="D34" s="1176"/>
      <c r="E34" s="1184"/>
      <c r="F34" s="1186">
        <f>E34*D34</f>
        <v>0</v>
      </c>
    </row>
    <row r="35" spans="1:7" hidden="1">
      <c r="A35" s="1173"/>
      <c r="B35" s="1174"/>
      <c r="C35" s="1175"/>
      <c r="D35" s="1176"/>
      <c r="E35" s="1184"/>
      <c r="F35" s="1186">
        <v>0</v>
      </c>
    </row>
    <row r="36" spans="1:7" ht="15.75" thickBot="1">
      <c r="A36" s="2236"/>
      <c r="B36" s="2237"/>
      <c r="C36" s="2237"/>
      <c r="D36" s="2238"/>
      <c r="E36" s="1185" t="s">
        <v>22</v>
      </c>
      <c r="F36" s="1198">
        <f>SUM(F33:F35)</f>
        <v>0</v>
      </c>
    </row>
    <row r="37" spans="1:7" ht="15.75" thickTop="1">
      <c r="A37" s="2239" t="s">
        <v>1481</v>
      </c>
      <c r="B37" s="2240"/>
      <c r="C37" s="2240"/>
      <c r="D37" s="2240"/>
      <c r="E37" s="2241"/>
      <c r="F37" s="1199">
        <f>SUM(F36,F31,F25,F19)</f>
        <v>20.51</v>
      </c>
      <c r="G37" s="1200" t="b">
        <f>VLOOKUP(A9,'[16]Maguariaçu T2'!$B$10:$F$68,5,0)=F37</f>
        <v>0</v>
      </c>
    </row>
    <row r="38" spans="1:7">
      <c r="A38" s="1190" t="s">
        <v>198</v>
      </c>
      <c r="B38" s="1191"/>
      <c r="C38" s="1191"/>
      <c r="D38" s="1191"/>
      <c r="E38" s="1192">
        <f>'[16]B.D.I'!J22</f>
        <v>0.27460000000000001</v>
      </c>
      <c r="F38" s="1201">
        <f>E38*F37</f>
        <v>5.63</v>
      </c>
    </row>
    <row r="39" spans="1:7" ht="15.75" thickBot="1">
      <c r="A39" s="2242" t="s">
        <v>1482</v>
      </c>
      <c r="B39" s="2243"/>
      <c r="C39" s="2243"/>
      <c r="D39" s="2243"/>
      <c r="E39" s="2243"/>
      <c r="F39" s="1202">
        <f>F38+F37</f>
        <v>26.14</v>
      </c>
    </row>
    <row r="40" spans="1:7" ht="15.75" thickTop="1"/>
  </sheetData>
  <mergeCells count="23">
    <mergeCell ref="A32:F32"/>
    <mergeCell ref="A36:D36"/>
    <mergeCell ref="A37:E37"/>
    <mergeCell ref="A39:E39"/>
    <mergeCell ref="A12:F12"/>
    <mergeCell ref="A19:E19"/>
    <mergeCell ref="A20:F20"/>
    <mergeCell ref="A25:D25"/>
    <mergeCell ref="A26:F26"/>
    <mergeCell ref="A31:D31"/>
    <mergeCell ref="F10:F11"/>
    <mergeCell ref="A3:F3"/>
    <mergeCell ref="A4:F4"/>
    <mergeCell ref="A5:F5"/>
    <mergeCell ref="A6:F6"/>
    <mergeCell ref="B8:B9"/>
    <mergeCell ref="C8:C9"/>
    <mergeCell ref="D8:D9"/>
    <mergeCell ref="A10:A11"/>
    <mergeCell ref="B10:B11"/>
    <mergeCell ref="C10:C11"/>
    <mergeCell ref="D10:D11"/>
    <mergeCell ref="E10:E11"/>
  </mergeCells>
  <printOptions horizontalCentered="1"/>
  <pageMargins left="0.51181102362204722" right="0.31496062992125984" top="0.55118110236220474" bottom="0.78740157480314965" header="0.31496062992125984" footer="0.31496062992125984"/>
  <pageSetup paperSize="9" scale="91" orientation="portrait" r:id="rId1"/>
  <headerFooter>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L355"/>
  <sheetViews>
    <sheetView view="pageBreakPreview" topLeftCell="A136" zoomScale="40" zoomScaleNormal="48" zoomScaleSheetLayoutView="40" workbookViewId="0">
      <selection activeCell="O213" sqref="O213"/>
    </sheetView>
  </sheetViews>
  <sheetFormatPr defaultColWidth="11.5703125" defaultRowHeight="14.25"/>
  <cols>
    <col min="1" max="1" width="11.5703125" style="88" bestFit="1" customWidth="1"/>
    <col min="2" max="2" width="27.42578125" style="88" bestFit="1" customWidth="1"/>
    <col min="3" max="3" width="13.42578125" style="361" bestFit="1" customWidth="1"/>
    <col min="4" max="4" width="40.28515625" style="361" bestFit="1" customWidth="1"/>
    <col min="5" max="5" width="22.5703125" style="361" customWidth="1"/>
    <col min="6" max="6" width="23" style="361" bestFit="1" customWidth="1"/>
    <col min="7" max="7" width="81.28515625" style="361" bestFit="1" customWidth="1"/>
    <col min="8" max="8" width="45.7109375" style="88" bestFit="1" customWidth="1"/>
    <col min="9" max="9" width="22.7109375" style="88" customWidth="1"/>
    <col min="10" max="10" width="42.7109375" style="88" customWidth="1"/>
    <col min="11" max="13" width="22.7109375" style="88" customWidth="1"/>
    <col min="14" max="15" width="34.28515625" style="88" bestFit="1" customWidth="1"/>
    <col min="16" max="16" width="37.7109375" style="88" bestFit="1" customWidth="1"/>
    <col min="17" max="17" width="35.7109375" style="88" bestFit="1" customWidth="1"/>
    <col min="18" max="18" width="19" style="88" customWidth="1"/>
    <col min="19" max="28" width="23.7109375" style="88" customWidth="1"/>
    <col min="29" max="29" width="25.5703125" style="88" bestFit="1" customWidth="1"/>
    <col min="30" max="30" width="11.5703125" style="88"/>
    <col min="31" max="32" width="25.7109375" style="88" customWidth="1"/>
    <col min="33" max="33" width="11.5703125" style="88"/>
    <col min="34" max="35" width="25.7109375" style="88" customWidth="1"/>
    <col min="36" max="36" width="11.5703125" style="88"/>
    <col min="37" max="37" width="22.28515625" style="88" customWidth="1"/>
    <col min="38" max="38" width="23.28515625" style="88" bestFit="1" customWidth="1"/>
    <col min="39" max="16384" width="11.5703125" style="88"/>
  </cols>
  <sheetData>
    <row r="1" spans="1:29" s="323" customFormat="1" ht="25.15" customHeight="1">
      <c r="A1" s="318"/>
      <c r="B1" s="319"/>
      <c r="C1" s="320"/>
      <c r="D1" s="320"/>
      <c r="E1" s="320"/>
      <c r="F1" s="320"/>
      <c r="G1" s="320"/>
      <c r="H1" s="319"/>
      <c r="I1" s="319"/>
      <c r="J1" s="319"/>
      <c r="K1" s="319"/>
      <c r="L1" s="319"/>
      <c r="M1" s="319"/>
      <c r="N1" s="319"/>
      <c r="O1" s="319"/>
      <c r="P1" s="319"/>
      <c r="Q1" s="321"/>
      <c r="R1" s="322"/>
    </row>
    <row r="2" spans="1:29" s="264" customFormat="1" ht="28.15" customHeight="1">
      <c r="A2" s="512"/>
      <c r="B2" s="513"/>
      <c r="C2" s="513"/>
      <c r="D2" s="513"/>
      <c r="E2" s="513"/>
      <c r="F2" s="513"/>
      <c r="G2" s="513"/>
      <c r="H2" s="513"/>
      <c r="I2" s="513"/>
      <c r="J2" s="513"/>
      <c r="K2" s="513"/>
      <c r="L2" s="513"/>
      <c r="M2" s="513"/>
      <c r="N2" s="513"/>
      <c r="O2" s="513"/>
      <c r="P2" s="513"/>
      <c r="Q2" s="514"/>
      <c r="R2" s="513"/>
    </row>
    <row r="3" spans="1:29" s="264" customFormat="1" ht="28.15" customHeight="1">
      <c r="A3" s="1637" t="s">
        <v>18</v>
      </c>
      <c r="B3" s="1638"/>
      <c r="C3" s="1638"/>
      <c r="D3" s="1638"/>
      <c r="E3" s="1638"/>
      <c r="F3" s="1638"/>
      <c r="G3" s="1638"/>
      <c r="H3" s="1638"/>
      <c r="I3" s="1638"/>
      <c r="J3" s="1638"/>
      <c r="K3" s="1638"/>
      <c r="L3" s="1638"/>
      <c r="M3" s="1638"/>
      <c r="N3" s="1638"/>
      <c r="O3" s="1638"/>
      <c r="P3" s="1638"/>
      <c r="Q3" s="1639"/>
      <c r="R3" s="513"/>
    </row>
    <row r="4" spans="1:29" s="264" customFormat="1" ht="28.15" customHeight="1">
      <c r="A4" s="1628" t="s">
        <v>187</v>
      </c>
      <c r="B4" s="1629"/>
      <c r="C4" s="1629"/>
      <c r="D4" s="1629"/>
      <c r="E4" s="1629"/>
      <c r="F4" s="1629"/>
      <c r="G4" s="1629"/>
      <c r="H4" s="1629"/>
      <c r="I4" s="1629"/>
      <c r="J4" s="1629"/>
      <c r="K4" s="1629"/>
      <c r="L4" s="1629"/>
      <c r="M4" s="1629"/>
      <c r="N4" s="1629"/>
      <c r="O4" s="1629"/>
      <c r="P4" s="1629"/>
      <c r="Q4" s="1630"/>
      <c r="R4" s="513"/>
    </row>
    <row r="5" spans="1:29" s="264" customFormat="1" ht="28.15" customHeight="1">
      <c r="A5" s="1628" t="s">
        <v>17</v>
      </c>
      <c r="B5" s="1629"/>
      <c r="C5" s="1629"/>
      <c r="D5" s="1629"/>
      <c r="E5" s="1629"/>
      <c r="F5" s="1629"/>
      <c r="G5" s="1629"/>
      <c r="H5" s="1629"/>
      <c r="I5" s="1629"/>
      <c r="J5" s="1629"/>
      <c r="K5" s="1629"/>
      <c r="L5" s="1629"/>
      <c r="M5" s="1629"/>
      <c r="N5" s="1629"/>
      <c r="O5" s="1629"/>
      <c r="P5" s="1629"/>
      <c r="Q5" s="1630"/>
      <c r="R5" s="513"/>
    </row>
    <row r="6" spans="1:29" s="323" customFormat="1" ht="25.15" customHeight="1">
      <c r="A6" s="428"/>
      <c r="B6" s="327"/>
      <c r="C6" s="327"/>
      <c r="D6" s="327"/>
      <c r="E6" s="327"/>
      <c r="F6" s="327"/>
      <c r="G6" s="327"/>
      <c r="H6" s="327"/>
      <c r="I6" s="327"/>
      <c r="J6" s="327"/>
      <c r="K6" s="327"/>
      <c r="L6" s="327"/>
      <c r="M6" s="327"/>
      <c r="N6" s="327"/>
      <c r="O6" s="327"/>
      <c r="P6" s="327"/>
      <c r="Q6" s="429"/>
      <c r="R6" s="408"/>
    </row>
    <row r="7" spans="1:29" ht="57" customHeight="1">
      <c r="A7" s="431"/>
      <c r="B7" s="352" t="s">
        <v>567</v>
      </c>
      <c r="C7" s="1641" t="str">
        <f>'PLANILHA GERAL'!D9</f>
        <v>OBRAS DE PREVENÇÕES DE ALAGAMENTOS E CHEIAS, INFRAESTRUTURA URBANA E CONSTRUÇÕES DIVERSAS NO MUNICÍPIO DE ANANINDEUA/PA</v>
      </c>
      <c r="D7" s="1642"/>
      <c r="E7" s="1642"/>
      <c r="F7" s="1642"/>
      <c r="G7" s="1642"/>
      <c r="H7" s="1642"/>
      <c r="I7" s="1642"/>
      <c r="J7" s="1642"/>
      <c r="K7" s="1642"/>
      <c r="L7" s="1642"/>
      <c r="M7" s="1642"/>
      <c r="N7" s="1642"/>
      <c r="O7" s="1642"/>
      <c r="P7" s="1642"/>
      <c r="Q7" s="1643"/>
      <c r="R7" s="329"/>
    </row>
    <row r="8" spans="1:29" s="323" customFormat="1" ht="25.15" customHeight="1" thickBot="1">
      <c r="A8" s="324"/>
      <c r="B8" s="325"/>
      <c r="C8" s="325"/>
      <c r="D8" s="325"/>
      <c r="E8" s="325"/>
      <c r="F8" s="325"/>
      <c r="G8" s="325"/>
      <c r="H8" s="325"/>
      <c r="I8" s="325"/>
      <c r="J8" s="325"/>
      <c r="K8" s="325"/>
      <c r="L8" s="325"/>
      <c r="M8" s="325"/>
      <c r="N8" s="325"/>
      <c r="O8" s="325"/>
      <c r="P8" s="325"/>
      <c r="Q8" s="326"/>
      <c r="R8" s="327"/>
    </row>
    <row r="9" spans="1:29" ht="41.25" customHeight="1" thickTop="1" thickBot="1">
      <c r="A9" s="1631" t="s">
        <v>328</v>
      </c>
      <c r="B9" s="1632"/>
      <c r="C9" s="1632"/>
      <c r="D9" s="1632"/>
      <c r="E9" s="1632"/>
      <c r="F9" s="1632"/>
      <c r="G9" s="1632"/>
      <c r="H9" s="1632"/>
      <c r="I9" s="1632"/>
      <c r="J9" s="1632"/>
      <c r="K9" s="1632"/>
      <c r="L9" s="1632"/>
      <c r="M9" s="1632"/>
      <c r="N9" s="1632"/>
      <c r="O9" s="1632"/>
      <c r="P9" s="1632"/>
      <c r="Q9" s="1633"/>
      <c r="R9" s="328"/>
    </row>
    <row r="10" spans="1:29" ht="27" customHeight="1" thickTop="1" thickBot="1">
      <c r="A10" s="1634"/>
      <c r="B10" s="1635"/>
      <c r="C10" s="1635"/>
      <c r="D10" s="1635"/>
      <c r="E10" s="1635"/>
      <c r="F10" s="1635"/>
      <c r="G10" s="1635"/>
      <c r="H10" s="1635"/>
      <c r="I10" s="1635"/>
      <c r="J10" s="1635"/>
      <c r="K10" s="1635"/>
      <c r="L10" s="1635"/>
      <c r="M10" s="1635"/>
      <c r="N10" s="1635"/>
      <c r="O10" s="1635"/>
      <c r="P10" s="1635"/>
      <c r="Q10" s="1636"/>
      <c r="R10" s="329"/>
    </row>
    <row r="11" spans="1:29" s="331" customFormat="1" ht="45" customHeight="1" thickBot="1">
      <c r="A11" s="1605" t="s">
        <v>318</v>
      </c>
      <c r="B11" s="1606"/>
      <c r="C11" s="1606"/>
      <c r="D11" s="1606"/>
      <c r="E11" s="1606"/>
      <c r="F11" s="1606"/>
      <c r="G11" s="1606"/>
      <c r="H11" s="1606"/>
      <c r="I11" s="1606"/>
      <c r="J11" s="1606"/>
      <c r="K11" s="1606"/>
      <c r="L11" s="1606"/>
      <c r="M11" s="1606"/>
      <c r="N11" s="1606"/>
      <c r="O11" s="1606"/>
      <c r="P11" s="1606"/>
      <c r="Q11" s="1607"/>
      <c r="R11" s="330"/>
    </row>
    <row r="12" spans="1:29" s="331" customFormat="1" ht="45" customHeight="1">
      <c r="A12" s="1612" t="s">
        <v>6</v>
      </c>
      <c r="B12" s="1615" t="s">
        <v>322</v>
      </c>
      <c r="C12" s="1620" t="s">
        <v>306</v>
      </c>
      <c r="D12" s="1620"/>
      <c r="E12" s="1620"/>
      <c r="F12" s="1608" t="s">
        <v>465</v>
      </c>
      <c r="G12" s="1608"/>
      <c r="H12" s="1608"/>
      <c r="I12" s="1608" t="s">
        <v>466</v>
      </c>
      <c r="J12" s="1623" t="s">
        <v>469</v>
      </c>
      <c r="K12" s="1608" t="s">
        <v>314</v>
      </c>
      <c r="L12" s="1608" t="s">
        <v>316</v>
      </c>
      <c r="M12" s="1600" t="s">
        <v>315</v>
      </c>
      <c r="N12" s="1603" t="s">
        <v>467</v>
      </c>
      <c r="O12" s="1603" t="s">
        <v>532</v>
      </c>
      <c r="P12" s="1603" t="s">
        <v>468</v>
      </c>
      <c r="Q12" s="1618" t="s">
        <v>317</v>
      </c>
      <c r="R12" s="330"/>
    </row>
    <row r="13" spans="1:29" s="331" customFormat="1" ht="45" customHeight="1">
      <c r="A13" s="1613"/>
      <c r="B13" s="1616"/>
      <c r="C13" s="1621"/>
      <c r="D13" s="1621"/>
      <c r="E13" s="1621"/>
      <c r="F13" s="1609"/>
      <c r="G13" s="1609"/>
      <c r="H13" s="1609"/>
      <c r="I13" s="1609"/>
      <c r="J13" s="1624"/>
      <c r="K13" s="1609"/>
      <c r="L13" s="1609"/>
      <c r="M13" s="1601"/>
      <c r="N13" s="1604"/>
      <c r="O13" s="1604"/>
      <c r="P13" s="1622"/>
      <c r="Q13" s="1619"/>
      <c r="R13" s="330"/>
      <c r="S13" s="332"/>
      <c r="T13" s="332"/>
      <c r="U13" s="332"/>
      <c r="V13" s="332"/>
      <c r="W13" s="332"/>
      <c r="X13" s="332"/>
      <c r="Y13" s="333"/>
      <c r="Z13" s="333"/>
      <c r="AA13" s="333"/>
      <c r="AB13" s="333"/>
    </row>
    <row r="14" spans="1:29" s="331" customFormat="1" ht="45" customHeight="1">
      <c r="A14" s="1613"/>
      <c r="B14" s="1616"/>
      <c r="C14" s="334" t="s">
        <v>148</v>
      </c>
      <c r="D14" s="335" t="s">
        <v>329</v>
      </c>
      <c r="E14" s="334" t="s">
        <v>313</v>
      </c>
      <c r="F14" s="334" t="s">
        <v>307</v>
      </c>
      <c r="G14" s="334" t="s">
        <v>312</v>
      </c>
      <c r="H14" s="334" t="s">
        <v>22</v>
      </c>
      <c r="I14" s="1609"/>
      <c r="J14" s="1624"/>
      <c r="K14" s="1609"/>
      <c r="L14" s="1609"/>
      <c r="M14" s="1602"/>
      <c r="N14" s="334" t="s">
        <v>22</v>
      </c>
      <c r="O14" s="334" t="s">
        <v>22</v>
      </c>
      <c r="P14" s="1604"/>
      <c r="Q14" s="1619"/>
      <c r="R14" s="330"/>
      <c r="S14" s="336"/>
      <c r="T14" s="336"/>
      <c r="U14" s="332"/>
      <c r="V14" s="332"/>
      <c r="W14" s="332"/>
      <c r="X14" s="332"/>
      <c r="Y14" s="336"/>
      <c r="Z14" s="333"/>
      <c r="AA14" s="333"/>
      <c r="AB14" s="333"/>
    </row>
    <row r="15" spans="1:29" s="331" customFormat="1" ht="60" customHeight="1">
      <c r="A15" s="1613"/>
      <c r="B15" s="1616"/>
      <c r="C15" s="517"/>
      <c r="D15" s="517"/>
      <c r="E15" s="517" t="s">
        <v>50</v>
      </c>
      <c r="F15" s="517" t="s">
        <v>53</v>
      </c>
      <c r="G15" s="517" t="s">
        <v>14</v>
      </c>
      <c r="H15" s="517" t="s">
        <v>667</v>
      </c>
      <c r="I15" s="517" t="s">
        <v>672</v>
      </c>
      <c r="J15" s="516" t="s">
        <v>668</v>
      </c>
      <c r="K15" s="517" t="s">
        <v>669</v>
      </c>
      <c r="L15" s="517" t="s">
        <v>670</v>
      </c>
      <c r="M15" s="517" t="s">
        <v>671</v>
      </c>
      <c r="N15" s="517" t="s">
        <v>673</v>
      </c>
      <c r="O15" s="517" t="s">
        <v>674</v>
      </c>
      <c r="P15" s="517" t="s">
        <v>675</v>
      </c>
      <c r="Q15" s="515" t="s">
        <v>676</v>
      </c>
      <c r="R15" s="330"/>
      <c r="S15" s="1597" t="s">
        <v>473</v>
      </c>
      <c r="T15" s="1598"/>
      <c r="U15" s="1598"/>
      <c r="V15" s="1598"/>
      <c r="W15" s="1598"/>
      <c r="X15" s="1598"/>
      <c r="Y15" s="1598"/>
      <c r="Z15" s="1598"/>
      <c r="AA15" s="1598"/>
      <c r="AB15" s="1598"/>
      <c r="AC15" s="1599"/>
    </row>
    <row r="16" spans="1:29" s="331" customFormat="1" ht="60" customHeight="1" thickBot="1">
      <c r="A16" s="1614"/>
      <c r="B16" s="1617"/>
      <c r="C16" s="337" t="s">
        <v>311</v>
      </c>
      <c r="D16" s="337" t="s">
        <v>308</v>
      </c>
      <c r="E16" s="337" t="s">
        <v>308</v>
      </c>
      <c r="F16" s="337" t="s">
        <v>513</v>
      </c>
      <c r="G16" s="339" t="s">
        <v>677</v>
      </c>
      <c r="H16" s="337"/>
      <c r="I16" s="337"/>
      <c r="J16" s="338">
        <v>10</v>
      </c>
      <c r="K16" s="337"/>
      <c r="L16" s="337"/>
      <c r="M16" s="337"/>
      <c r="N16" s="337"/>
      <c r="O16" s="339"/>
      <c r="P16" s="339" t="s">
        <v>530</v>
      </c>
      <c r="Q16" s="432"/>
      <c r="R16" s="340"/>
      <c r="S16" s="335" t="s">
        <v>474</v>
      </c>
      <c r="T16" s="335" t="s">
        <v>475</v>
      </c>
      <c r="U16" s="335" t="s">
        <v>476</v>
      </c>
      <c r="V16" s="335" t="s">
        <v>477</v>
      </c>
      <c r="W16" s="335" t="s">
        <v>478</v>
      </c>
      <c r="X16" s="335" t="s">
        <v>323</v>
      </c>
      <c r="Y16" s="334" t="s">
        <v>467</v>
      </c>
      <c r="Z16" s="334" t="s">
        <v>532</v>
      </c>
      <c r="AA16" s="334" t="s">
        <v>468</v>
      </c>
      <c r="AB16" s="334" t="s">
        <v>317</v>
      </c>
      <c r="AC16" s="341" t="s">
        <v>22</v>
      </c>
    </row>
    <row r="17" spans="1:29" s="331" customFormat="1" ht="45" hidden="1" customHeight="1">
      <c r="A17" s="342">
        <f>DADOS!A12</f>
        <v>1</v>
      </c>
      <c r="B17" s="343"/>
      <c r="C17" s="344"/>
      <c r="D17" s="344">
        <v>5</v>
      </c>
      <c r="E17" s="344">
        <f>C17*D17</f>
        <v>0</v>
      </c>
      <c r="F17" s="345">
        <f>0.48+0.5</f>
        <v>0.98</v>
      </c>
      <c r="G17" s="345">
        <f>0.48+0.6</f>
        <v>1.08</v>
      </c>
      <c r="H17" s="345">
        <f t="shared" ref="H17:H36" si="0">E17*F17*G17</f>
        <v>0</v>
      </c>
      <c r="I17" s="345">
        <f>M17</f>
        <v>0</v>
      </c>
      <c r="J17" s="346">
        <f>I17*1.25*$J$16</f>
        <v>0</v>
      </c>
      <c r="K17" s="345">
        <f t="shared" ref="K17:K36" si="1">E17*F17</f>
        <v>0</v>
      </c>
      <c r="L17" s="345">
        <f>K17</f>
        <v>0</v>
      </c>
      <c r="M17" s="345">
        <f t="shared" ref="M17:M36" si="2">(3.14*0.2^2)*E17</f>
        <v>0</v>
      </c>
      <c r="N17" s="345">
        <f>(H17-M17)*70%</f>
        <v>0</v>
      </c>
      <c r="O17" s="345">
        <f>(H17-M17)*30%</f>
        <v>0</v>
      </c>
      <c r="P17" s="345">
        <v>0</v>
      </c>
      <c r="Q17" s="433">
        <f t="shared" ref="Q17:Q36" si="3">E17</f>
        <v>0</v>
      </c>
      <c r="R17" s="347"/>
      <c r="S17" s="348">
        <f>'PLANILHA GERAL'!$J$50</f>
        <v>203.44</v>
      </c>
      <c r="T17" s="348">
        <f>'PLANILHA GERAL'!$J$51</f>
        <v>13.75</v>
      </c>
      <c r="U17" s="348">
        <f>'PLANILHA GERAL'!$J$52</f>
        <v>8.0399999999999991</v>
      </c>
      <c r="V17" s="348">
        <f>'PLANILHA GERAL'!$J$53</f>
        <v>3.45</v>
      </c>
      <c r="W17" s="348">
        <f>'PLANILHA GERAL'!$J$54</f>
        <v>7.35</v>
      </c>
      <c r="X17" s="348">
        <f>'PLANILHA GERAL'!$J$55</f>
        <v>60.59</v>
      </c>
      <c r="Y17" s="348">
        <f>'PLANILHA GERAL'!$J$56</f>
        <v>219.78</v>
      </c>
      <c r="Z17" s="348">
        <f>'PLANILHA GERAL'!$J$57</f>
        <v>22.08</v>
      </c>
      <c r="AA17" s="348">
        <f>'PLANILHA GERAL'!$J$58</f>
        <v>51.71</v>
      </c>
      <c r="AB17" s="348">
        <f>'PLANILHA GERAL'!$J$59</f>
        <v>44.1</v>
      </c>
      <c r="AC17" s="348">
        <f t="shared" ref="AC17:AC52" si="4">(E17*S17)+(H17*T17)+(I17*U17)+(J17*V17)+(K17*W17)+(L17*X17)+(N17*Y17)+(O17*Z17)+(P17*AA17)+(Q17*AB17)</f>
        <v>0</v>
      </c>
    </row>
    <row r="18" spans="1:29" s="331" customFormat="1" ht="63.75" customHeight="1" thickBot="1">
      <c r="A18" s="342">
        <v>1</v>
      </c>
      <c r="B18" s="343" t="s">
        <v>1929</v>
      </c>
      <c r="C18" s="349">
        <f>C309*2</f>
        <v>126</v>
      </c>
      <c r="D18" s="349">
        <v>5</v>
      </c>
      <c r="E18" s="349">
        <f t="shared" ref="E18:E36" si="5">C18*D18</f>
        <v>630</v>
      </c>
      <c r="F18" s="345">
        <f t="shared" ref="F18:F54" si="6">0.48+0.5</f>
        <v>0.98</v>
      </c>
      <c r="G18" s="345">
        <f t="shared" ref="G18:G54" si="7">0.48+0.6</f>
        <v>1.08</v>
      </c>
      <c r="H18" s="345">
        <f t="shared" si="0"/>
        <v>666.79</v>
      </c>
      <c r="I18" s="345">
        <f>M18+N18</f>
        <v>490.49</v>
      </c>
      <c r="J18" s="346">
        <f t="shared" ref="J18:J36" si="8">I18*1.25*$J$16</f>
        <v>6131.13</v>
      </c>
      <c r="K18" s="345">
        <f t="shared" si="1"/>
        <v>617.4</v>
      </c>
      <c r="L18" s="345">
        <f t="shared" ref="L18:L36" si="9">K18</f>
        <v>617.4</v>
      </c>
      <c r="M18" s="345">
        <f t="shared" si="2"/>
        <v>79.13</v>
      </c>
      <c r="N18" s="345">
        <f t="shared" ref="N18:N36" si="10">(H18-M18)*70%</f>
        <v>411.36</v>
      </c>
      <c r="O18" s="345">
        <f t="shared" ref="O18:O36" si="11">(H18-M18)*30%</f>
        <v>176.3</v>
      </c>
      <c r="P18" s="345">
        <v>0</v>
      </c>
      <c r="Q18" s="433">
        <f t="shared" si="3"/>
        <v>630</v>
      </c>
      <c r="R18" s="347"/>
      <c r="S18" s="348">
        <f>'PLANILHA GERAL'!$J$50</f>
        <v>203.44</v>
      </c>
      <c r="T18" s="348">
        <f>'PLANILHA GERAL'!$J$51</f>
        <v>13.75</v>
      </c>
      <c r="U18" s="348">
        <f>'PLANILHA GERAL'!$J$52</f>
        <v>8.0399999999999991</v>
      </c>
      <c r="V18" s="348">
        <f>'PLANILHA GERAL'!$J$53</f>
        <v>3.45</v>
      </c>
      <c r="W18" s="348">
        <f>'PLANILHA GERAL'!$J$54</f>
        <v>7.35</v>
      </c>
      <c r="X18" s="348">
        <f>'PLANILHA GERAL'!$J$55</f>
        <v>60.59</v>
      </c>
      <c r="Y18" s="348">
        <f>'PLANILHA GERAL'!$J$56</f>
        <v>219.78</v>
      </c>
      <c r="Z18" s="348">
        <f>'PLANILHA GERAL'!$J$57</f>
        <v>22.08</v>
      </c>
      <c r="AA18" s="348">
        <f>'PLANILHA GERAL'!$J$58</f>
        <v>51.71</v>
      </c>
      <c r="AB18" s="348">
        <f>'PLANILHA GERAL'!$J$59</f>
        <v>44.1</v>
      </c>
      <c r="AC18" s="348">
        <f t="shared" si="4"/>
        <v>326462.06</v>
      </c>
    </row>
    <row r="19" spans="1:29" s="331" customFormat="1" ht="45" hidden="1" customHeight="1">
      <c r="A19" s="342">
        <f>DADOS!A14</f>
        <v>0</v>
      </c>
      <c r="B19" s="343"/>
      <c r="C19" s="349"/>
      <c r="D19" s="349"/>
      <c r="E19" s="349">
        <f t="shared" si="5"/>
        <v>0</v>
      </c>
      <c r="F19" s="345">
        <f t="shared" si="6"/>
        <v>0.98</v>
      </c>
      <c r="G19" s="345">
        <f t="shared" si="7"/>
        <v>1.08</v>
      </c>
      <c r="H19" s="345">
        <f t="shared" si="0"/>
        <v>0</v>
      </c>
      <c r="I19" s="345">
        <f t="shared" ref="I19:I54" si="12">M19+N19</f>
        <v>0</v>
      </c>
      <c r="J19" s="346">
        <f t="shared" si="8"/>
        <v>0</v>
      </c>
      <c r="K19" s="345">
        <f t="shared" si="1"/>
        <v>0</v>
      </c>
      <c r="L19" s="345">
        <f t="shared" si="9"/>
        <v>0</v>
      </c>
      <c r="M19" s="345">
        <f t="shared" si="2"/>
        <v>0</v>
      </c>
      <c r="N19" s="345">
        <f t="shared" si="10"/>
        <v>0</v>
      </c>
      <c r="O19" s="345">
        <f t="shared" si="11"/>
        <v>0</v>
      </c>
      <c r="P19" s="345">
        <v>0</v>
      </c>
      <c r="Q19" s="433">
        <f t="shared" si="3"/>
        <v>0</v>
      </c>
      <c r="R19" s="347"/>
      <c r="S19" s="348">
        <f>'PLANILHA GERAL'!$J$50</f>
        <v>203.44</v>
      </c>
      <c r="T19" s="348">
        <f>'PLANILHA GERAL'!$J$51</f>
        <v>13.75</v>
      </c>
      <c r="U19" s="348">
        <f>'PLANILHA GERAL'!$J$52</f>
        <v>8.0399999999999991</v>
      </c>
      <c r="V19" s="348">
        <f>'PLANILHA GERAL'!$J$53</f>
        <v>3.45</v>
      </c>
      <c r="W19" s="348">
        <f>'PLANILHA GERAL'!$J$54</f>
        <v>7.35</v>
      </c>
      <c r="X19" s="348">
        <f>'PLANILHA GERAL'!$J$55</f>
        <v>60.59</v>
      </c>
      <c r="Y19" s="348">
        <f>'PLANILHA GERAL'!$J$56</f>
        <v>219.78</v>
      </c>
      <c r="Z19" s="348">
        <f>'PLANILHA GERAL'!$J$57</f>
        <v>22.08</v>
      </c>
      <c r="AA19" s="348">
        <f>'PLANILHA GERAL'!$J$58</f>
        <v>51.71</v>
      </c>
      <c r="AB19" s="348">
        <f>'PLANILHA GERAL'!$J$59</f>
        <v>44.1</v>
      </c>
      <c r="AC19" s="348">
        <f t="shared" si="4"/>
        <v>0</v>
      </c>
    </row>
    <row r="20" spans="1:29" s="331" customFormat="1" ht="45" hidden="1" customHeight="1">
      <c r="A20" s="342">
        <f>DADOS!A15</f>
        <v>0</v>
      </c>
      <c r="B20" s="343"/>
      <c r="C20" s="349"/>
      <c r="D20" s="349"/>
      <c r="E20" s="349">
        <f t="shared" si="5"/>
        <v>0</v>
      </c>
      <c r="F20" s="345">
        <f t="shared" si="6"/>
        <v>0.98</v>
      </c>
      <c r="G20" s="345">
        <f t="shared" si="7"/>
        <v>1.08</v>
      </c>
      <c r="H20" s="345">
        <f t="shared" si="0"/>
        <v>0</v>
      </c>
      <c r="I20" s="345">
        <f t="shared" si="12"/>
        <v>0</v>
      </c>
      <c r="J20" s="346">
        <f t="shared" si="8"/>
        <v>0</v>
      </c>
      <c r="K20" s="345">
        <f t="shared" si="1"/>
        <v>0</v>
      </c>
      <c r="L20" s="345">
        <f t="shared" si="9"/>
        <v>0</v>
      </c>
      <c r="M20" s="345">
        <f t="shared" si="2"/>
        <v>0</v>
      </c>
      <c r="N20" s="345">
        <f t="shared" si="10"/>
        <v>0</v>
      </c>
      <c r="O20" s="345">
        <f t="shared" si="11"/>
        <v>0</v>
      </c>
      <c r="P20" s="345">
        <v>0</v>
      </c>
      <c r="Q20" s="433">
        <f t="shared" si="3"/>
        <v>0</v>
      </c>
      <c r="R20" s="347"/>
      <c r="S20" s="348">
        <f>'PLANILHA GERAL'!$J$50</f>
        <v>203.44</v>
      </c>
      <c r="T20" s="348">
        <f>'PLANILHA GERAL'!$J$51</f>
        <v>13.75</v>
      </c>
      <c r="U20" s="348">
        <f>'PLANILHA GERAL'!$J$52</f>
        <v>8.0399999999999991</v>
      </c>
      <c r="V20" s="348">
        <f>'PLANILHA GERAL'!$J$53</f>
        <v>3.45</v>
      </c>
      <c r="W20" s="348">
        <f>'PLANILHA GERAL'!$J$54</f>
        <v>7.35</v>
      </c>
      <c r="X20" s="348">
        <f>'PLANILHA GERAL'!$J$55</f>
        <v>60.59</v>
      </c>
      <c r="Y20" s="348">
        <f>'PLANILHA GERAL'!$J$56</f>
        <v>219.78</v>
      </c>
      <c r="Z20" s="348">
        <f>'PLANILHA GERAL'!$J$57</f>
        <v>22.08</v>
      </c>
      <c r="AA20" s="348">
        <f>'PLANILHA GERAL'!$J$58</f>
        <v>51.71</v>
      </c>
      <c r="AB20" s="348">
        <f>'PLANILHA GERAL'!$J$59</f>
        <v>44.1</v>
      </c>
      <c r="AC20" s="348">
        <f t="shared" si="4"/>
        <v>0</v>
      </c>
    </row>
    <row r="21" spans="1:29" s="331" customFormat="1" ht="45" hidden="1" customHeight="1">
      <c r="A21" s="342">
        <f>DADOS!A16</f>
        <v>0</v>
      </c>
      <c r="B21" s="343"/>
      <c r="C21" s="349"/>
      <c r="D21" s="349"/>
      <c r="E21" s="349">
        <f t="shared" si="5"/>
        <v>0</v>
      </c>
      <c r="F21" s="345">
        <f t="shared" si="6"/>
        <v>0.98</v>
      </c>
      <c r="G21" s="345">
        <f t="shared" si="7"/>
        <v>1.08</v>
      </c>
      <c r="H21" s="345">
        <f t="shared" si="0"/>
        <v>0</v>
      </c>
      <c r="I21" s="345">
        <f t="shared" si="12"/>
        <v>0</v>
      </c>
      <c r="J21" s="346">
        <f t="shared" si="8"/>
        <v>0</v>
      </c>
      <c r="K21" s="345">
        <f t="shared" si="1"/>
        <v>0</v>
      </c>
      <c r="L21" s="345">
        <f t="shared" si="9"/>
        <v>0</v>
      </c>
      <c r="M21" s="345">
        <f t="shared" si="2"/>
        <v>0</v>
      </c>
      <c r="N21" s="345">
        <f t="shared" si="10"/>
        <v>0</v>
      </c>
      <c r="O21" s="345">
        <f t="shared" si="11"/>
        <v>0</v>
      </c>
      <c r="P21" s="345">
        <v>0</v>
      </c>
      <c r="Q21" s="433">
        <f t="shared" si="3"/>
        <v>0</v>
      </c>
      <c r="R21" s="347"/>
      <c r="S21" s="348">
        <f>'PLANILHA GERAL'!$J$50</f>
        <v>203.44</v>
      </c>
      <c r="T21" s="348">
        <f>'PLANILHA GERAL'!$J$51</f>
        <v>13.75</v>
      </c>
      <c r="U21" s="348">
        <f>'PLANILHA GERAL'!$J$52</f>
        <v>8.0399999999999991</v>
      </c>
      <c r="V21" s="348">
        <f>'PLANILHA GERAL'!$J$53</f>
        <v>3.45</v>
      </c>
      <c r="W21" s="348">
        <f>'PLANILHA GERAL'!$J$54</f>
        <v>7.35</v>
      </c>
      <c r="X21" s="348">
        <f>'PLANILHA GERAL'!$J$55</f>
        <v>60.59</v>
      </c>
      <c r="Y21" s="348">
        <f>'PLANILHA GERAL'!$J$56</f>
        <v>219.78</v>
      </c>
      <c r="Z21" s="348">
        <f>'PLANILHA GERAL'!$J$57</f>
        <v>22.08</v>
      </c>
      <c r="AA21" s="348">
        <f>'PLANILHA GERAL'!$J$58</f>
        <v>51.71</v>
      </c>
      <c r="AB21" s="348">
        <f>'PLANILHA GERAL'!$J$59</f>
        <v>44.1</v>
      </c>
      <c r="AC21" s="348">
        <f t="shared" si="4"/>
        <v>0</v>
      </c>
    </row>
    <row r="22" spans="1:29" s="331" customFormat="1" ht="45" hidden="1" customHeight="1">
      <c r="A22" s="342">
        <f>DADOS!A17</f>
        <v>0</v>
      </c>
      <c r="B22" s="343"/>
      <c r="C22" s="349"/>
      <c r="D22" s="349"/>
      <c r="E22" s="349">
        <f t="shared" si="5"/>
        <v>0</v>
      </c>
      <c r="F22" s="345">
        <f t="shared" si="6"/>
        <v>0.98</v>
      </c>
      <c r="G22" s="345">
        <f t="shared" si="7"/>
        <v>1.08</v>
      </c>
      <c r="H22" s="345">
        <f t="shared" si="0"/>
        <v>0</v>
      </c>
      <c r="I22" s="345">
        <f t="shared" si="12"/>
        <v>0</v>
      </c>
      <c r="J22" s="346">
        <f t="shared" si="8"/>
        <v>0</v>
      </c>
      <c r="K22" s="345">
        <f t="shared" si="1"/>
        <v>0</v>
      </c>
      <c r="L22" s="345">
        <f t="shared" si="9"/>
        <v>0</v>
      </c>
      <c r="M22" s="345">
        <f t="shared" si="2"/>
        <v>0</v>
      </c>
      <c r="N22" s="345">
        <f t="shared" si="10"/>
        <v>0</v>
      </c>
      <c r="O22" s="345">
        <f t="shared" si="11"/>
        <v>0</v>
      </c>
      <c r="P22" s="345">
        <v>0</v>
      </c>
      <c r="Q22" s="433">
        <f t="shared" si="3"/>
        <v>0</v>
      </c>
      <c r="R22" s="347"/>
      <c r="S22" s="348">
        <f>'PLANILHA GERAL'!$J$50</f>
        <v>203.44</v>
      </c>
      <c r="T22" s="348">
        <f>'PLANILHA GERAL'!$J$51</f>
        <v>13.75</v>
      </c>
      <c r="U22" s="348">
        <f>'PLANILHA GERAL'!$J$52</f>
        <v>8.0399999999999991</v>
      </c>
      <c r="V22" s="348">
        <f>'PLANILHA GERAL'!$J$53</f>
        <v>3.45</v>
      </c>
      <c r="W22" s="348">
        <f>'PLANILHA GERAL'!$J$54</f>
        <v>7.35</v>
      </c>
      <c r="X22" s="348">
        <f>'PLANILHA GERAL'!$J$55</f>
        <v>60.59</v>
      </c>
      <c r="Y22" s="348">
        <f>'PLANILHA GERAL'!$J$56</f>
        <v>219.78</v>
      </c>
      <c r="Z22" s="348">
        <f>'PLANILHA GERAL'!$J$57</f>
        <v>22.08</v>
      </c>
      <c r="AA22" s="348">
        <f>'PLANILHA GERAL'!$J$58</f>
        <v>51.71</v>
      </c>
      <c r="AB22" s="348">
        <f>'PLANILHA GERAL'!$J$59</f>
        <v>44.1</v>
      </c>
      <c r="AC22" s="348">
        <f t="shared" si="4"/>
        <v>0</v>
      </c>
    </row>
    <row r="23" spans="1:29" s="331" customFormat="1" ht="45" hidden="1" customHeight="1">
      <c r="A23" s="342">
        <f>DADOS!A18</f>
        <v>0</v>
      </c>
      <c r="B23" s="343"/>
      <c r="C23" s="349"/>
      <c r="D23" s="349"/>
      <c r="E23" s="349">
        <f t="shared" si="5"/>
        <v>0</v>
      </c>
      <c r="F23" s="345">
        <f t="shared" si="6"/>
        <v>0.98</v>
      </c>
      <c r="G23" s="345">
        <f t="shared" si="7"/>
        <v>1.08</v>
      </c>
      <c r="H23" s="345">
        <f t="shared" si="0"/>
        <v>0</v>
      </c>
      <c r="I23" s="345">
        <f t="shared" si="12"/>
        <v>0</v>
      </c>
      <c r="J23" s="346">
        <f t="shared" si="8"/>
        <v>0</v>
      </c>
      <c r="K23" s="345">
        <f t="shared" si="1"/>
        <v>0</v>
      </c>
      <c r="L23" s="345">
        <f t="shared" si="9"/>
        <v>0</v>
      </c>
      <c r="M23" s="345">
        <f t="shared" si="2"/>
        <v>0</v>
      </c>
      <c r="N23" s="345">
        <f t="shared" si="10"/>
        <v>0</v>
      </c>
      <c r="O23" s="345">
        <f t="shared" si="11"/>
        <v>0</v>
      </c>
      <c r="P23" s="345">
        <v>0</v>
      </c>
      <c r="Q23" s="433">
        <f t="shared" si="3"/>
        <v>0</v>
      </c>
      <c r="R23" s="347"/>
      <c r="S23" s="348">
        <f>'PLANILHA GERAL'!$J$50</f>
        <v>203.44</v>
      </c>
      <c r="T23" s="348">
        <f>'PLANILHA GERAL'!$J$51</f>
        <v>13.75</v>
      </c>
      <c r="U23" s="348">
        <f>'PLANILHA GERAL'!$J$52</f>
        <v>8.0399999999999991</v>
      </c>
      <c r="V23" s="348">
        <f>'PLANILHA GERAL'!$J$53</f>
        <v>3.45</v>
      </c>
      <c r="W23" s="348">
        <f>'PLANILHA GERAL'!$J$54</f>
        <v>7.35</v>
      </c>
      <c r="X23" s="348">
        <f>'PLANILHA GERAL'!$J$55</f>
        <v>60.59</v>
      </c>
      <c r="Y23" s="348">
        <f>'PLANILHA GERAL'!$J$56</f>
        <v>219.78</v>
      </c>
      <c r="Z23" s="348">
        <f>'PLANILHA GERAL'!$J$57</f>
        <v>22.08</v>
      </c>
      <c r="AA23" s="348">
        <f>'PLANILHA GERAL'!$J$58</f>
        <v>51.71</v>
      </c>
      <c r="AB23" s="348">
        <f>'PLANILHA GERAL'!$J$59</f>
        <v>44.1</v>
      </c>
      <c r="AC23" s="348">
        <f t="shared" si="4"/>
        <v>0</v>
      </c>
    </row>
    <row r="24" spans="1:29" s="331" customFormat="1" ht="45" hidden="1" customHeight="1">
      <c r="A24" s="342">
        <f>DADOS!A19</f>
        <v>0</v>
      </c>
      <c r="B24" s="343">
        <f>DADOS!B19</f>
        <v>0</v>
      </c>
      <c r="C24" s="349"/>
      <c r="D24" s="349"/>
      <c r="E24" s="349">
        <f t="shared" si="5"/>
        <v>0</v>
      </c>
      <c r="F24" s="345">
        <f t="shared" si="6"/>
        <v>0.98</v>
      </c>
      <c r="G24" s="345">
        <f t="shared" si="7"/>
        <v>1.08</v>
      </c>
      <c r="H24" s="345">
        <f t="shared" si="0"/>
        <v>0</v>
      </c>
      <c r="I24" s="345">
        <f t="shared" si="12"/>
        <v>0</v>
      </c>
      <c r="J24" s="346">
        <f t="shared" si="8"/>
        <v>0</v>
      </c>
      <c r="K24" s="345">
        <f t="shared" si="1"/>
        <v>0</v>
      </c>
      <c r="L24" s="345">
        <f t="shared" si="9"/>
        <v>0</v>
      </c>
      <c r="M24" s="345">
        <f t="shared" si="2"/>
        <v>0</v>
      </c>
      <c r="N24" s="345">
        <f t="shared" si="10"/>
        <v>0</v>
      </c>
      <c r="O24" s="345">
        <f t="shared" si="11"/>
        <v>0</v>
      </c>
      <c r="P24" s="345">
        <v>0</v>
      </c>
      <c r="Q24" s="433">
        <f t="shared" si="3"/>
        <v>0</v>
      </c>
      <c r="R24" s="347"/>
      <c r="S24" s="348">
        <f>'PLANILHA GERAL'!$J$50</f>
        <v>203.44</v>
      </c>
      <c r="T24" s="348">
        <f>'PLANILHA GERAL'!$J$51</f>
        <v>13.75</v>
      </c>
      <c r="U24" s="348">
        <f>'PLANILHA GERAL'!$J$52</f>
        <v>8.0399999999999991</v>
      </c>
      <c r="V24" s="348">
        <f>'PLANILHA GERAL'!$J$53</f>
        <v>3.45</v>
      </c>
      <c r="W24" s="348">
        <f>'PLANILHA GERAL'!$J$54</f>
        <v>7.35</v>
      </c>
      <c r="X24" s="348">
        <f>'PLANILHA GERAL'!$J$55</f>
        <v>60.59</v>
      </c>
      <c r="Y24" s="348">
        <f>'PLANILHA GERAL'!$J$56</f>
        <v>219.78</v>
      </c>
      <c r="Z24" s="348">
        <f>'PLANILHA GERAL'!$J$57</f>
        <v>22.08</v>
      </c>
      <c r="AA24" s="348">
        <f>'PLANILHA GERAL'!$J$58</f>
        <v>51.71</v>
      </c>
      <c r="AB24" s="348">
        <f>'PLANILHA GERAL'!$J$59</f>
        <v>44.1</v>
      </c>
      <c r="AC24" s="348">
        <f t="shared" si="4"/>
        <v>0</v>
      </c>
    </row>
    <row r="25" spans="1:29" s="331" customFormat="1" ht="45" hidden="1" customHeight="1">
      <c r="A25" s="342">
        <f>DADOS!A20</f>
        <v>0</v>
      </c>
      <c r="B25" s="343">
        <f>DADOS!B20</f>
        <v>0</v>
      </c>
      <c r="C25" s="349"/>
      <c r="D25" s="349"/>
      <c r="E25" s="349">
        <f t="shared" si="5"/>
        <v>0</v>
      </c>
      <c r="F25" s="345">
        <f t="shared" si="6"/>
        <v>0.98</v>
      </c>
      <c r="G25" s="345">
        <f t="shared" si="7"/>
        <v>1.08</v>
      </c>
      <c r="H25" s="345">
        <f t="shared" si="0"/>
        <v>0</v>
      </c>
      <c r="I25" s="345">
        <f t="shared" si="12"/>
        <v>0</v>
      </c>
      <c r="J25" s="346">
        <f t="shared" si="8"/>
        <v>0</v>
      </c>
      <c r="K25" s="345">
        <f t="shared" si="1"/>
        <v>0</v>
      </c>
      <c r="L25" s="345">
        <f t="shared" si="9"/>
        <v>0</v>
      </c>
      <c r="M25" s="345">
        <f t="shared" si="2"/>
        <v>0</v>
      </c>
      <c r="N25" s="345">
        <f t="shared" si="10"/>
        <v>0</v>
      </c>
      <c r="O25" s="345">
        <f t="shared" si="11"/>
        <v>0</v>
      </c>
      <c r="P25" s="345">
        <v>0</v>
      </c>
      <c r="Q25" s="433">
        <f t="shared" si="3"/>
        <v>0</v>
      </c>
      <c r="R25" s="347"/>
      <c r="S25" s="348">
        <f>'PLANILHA GERAL'!$J$50</f>
        <v>203.44</v>
      </c>
      <c r="T25" s="348">
        <f>'PLANILHA GERAL'!$J$51</f>
        <v>13.75</v>
      </c>
      <c r="U25" s="348">
        <f>'PLANILHA GERAL'!$J$52</f>
        <v>8.0399999999999991</v>
      </c>
      <c r="V25" s="348">
        <f>'PLANILHA GERAL'!$J$53</f>
        <v>3.45</v>
      </c>
      <c r="W25" s="348">
        <f>'PLANILHA GERAL'!$J$54</f>
        <v>7.35</v>
      </c>
      <c r="X25" s="348">
        <f>'PLANILHA GERAL'!$J$55</f>
        <v>60.59</v>
      </c>
      <c r="Y25" s="348">
        <f>'PLANILHA GERAL'!$J$56</f>
        <v>219.78</v>
      </c>
      <c r="Z25" s="348">
        <f>'PLANILHA GERAL'!$J$57</f>
        <v>22.08</v>
      </c>
      <c r="AA25" s="348">
        <f>'PLANILHA GERAL'!$J$58</f>
        <v>51.71</v>
      </c>
      <c r="AB25" s="348">
        <f>'PLANILHA GERAL'!$J$59</f>
        <v>44.1</v>
      </c>
      <c r="AC25" s="348">
        <f t="shared" si="4"/>
        <v>0</v>
      </c>
    </row>
    <row r="26" spans="1:29" s="331" customFormat="1" ht="45" hidden="1" customHeight="1">
      <c r="A26" s="342">
        <f>DADOS!A21</f>
        <v>0</v>
      </c>
      <c r="B26" s="343">
        <f>DADOS!B21</f>
        <v>0</v>
      </c>
      <c r="C26" s="349"/>
      <c r="D26" s="349"/>
      <c r="E26" s="349">
        <f t="shared" si="5"/>
        <v>0</v>
      </c>
      <c r="F26" s="345">
        <f t="shared" si="6"/>
        <v>0.98</v>
      </c>
      <c r="G26" s="345">
        <f t="shared" si="7"/>
        <v>1.08</v>
      </c>
      <c r="H26" s="345">
        <f t="shared" si="0"/>
        <v>0</v>
      </c>
      <c r="I26" s="345">
        <f t="shared" si="12"/>
        <v>0</v>
      </c>
      <c r="J26" s="346">
        <f t="shared" si="8"/>
        <v>0</v>
      </c>
      <c r="K26" s="345">
        <f t="shared" si="1"/>
        <v>0</v>
      </c>
      <c r="L26" s="345">
        <f t="shared" si="9"/>
        <v>0</v>
      </c>
      <c r="M26" s="345">
        <f t="shared" si="2"/>
        <v>0</v>
      </c>
      <c r="N26" s="345">
        <f t="shared" si="10"/>
        <v>0</v>
      </c>
      <c r="O26" s="345">
        <f t="shared" si="11"/>
        <v>0</v>
      </c>
      <c r="P26" s="345">
        <v>0</v>
      </c>
      <c r="Q26" s="433">
        <f t="shared" si="3"/>
        <v>0</v>
      </c>
      <c r="R26" s="347"/>
      <c r="S26" s="348">
        <f>'PLANILHA GERAL'!$J$50</f>
        <v>203.44</v>
      </c>
      <c r="T26" s="348">
        <f>'PLANILHA GERAL'!$J$51</f>
        <v>13.75</v>
      </c>
      <c r="U26" s="348">
        <f>'PLANILHA GERAL'!$J$52</f>
        <v>8.0399999999999991</v>
      </c>
      <c r="V26" s="348">
        <f>'PLANILHA GERAL'!$J$53</f>
        <v>3.45</v>
      </c>
      <c r="W26" s="348">
        <f>'PLANILHA GERAL'!$J$54</f>
        <v>7.35</v>
      </c>
      <c r="X26" s="348">
        <f>'PLANILHA GERAL'!$J$55</f>
        <v>60.59</v>
      </c>
      <c r="Y26" s="348">
        <f>'PLANILHA GERAL'!$J$56</f>
        <v>219.78</v>
      </c>
      <c r="Z26" s="348">
        <f>'PLANILHA GERAL'!$J$57</f>
        <v>22.08</v>
      </c>
      <c r="AA26" s="348">
        <f>'PLANILHA GERAL'!$J$58</f>
        <v>51.71</v>
      </c>
      <c r="AB26" s="348">
        <f>'PLANILHA GERAL'!$J$59</f>
        <v>44.1</v>
      </c>
      <c r="AC26" s="348">
        <f t="shared" si="4"/>
        <v>0</v>
      </c>
    </row>
    <row r="27" spans="1:29" s="331" customFormat="1" ht="45" hidden="1" customHeight="1">
      <c r="A27" s="342">
        <f>DADOS!A22</f>
        <v>0</v>
      </c>
      <c r="B27" s="343">
        <f>DADOS!B22</f>
        <v>0</v>
      </c>
      <c r="C27" s="349"/>
      <c r="D27" s="349"/>
      <c r="E27" s="349">
        <f t="shared" si="5"/>
        <v>0</v>
      </c>
      <c r="F27" s="345">
        <f t="shared" si="6"/>
        <v>0.98</v>
      </c>
      <c r="G27" s="345">
        <f t="shared" si="7"/>
        <v>1.08</v>
      </c>
      <c r="H27" s="345">
        <f t="shared" si="0"/>
        <v>0</v>
      </c>
      <c r="I27" s="345">
        <f t="shared" si="12"/>
        <v>0</v>
      </c>
      <c r="J27" s="346">
        <f t="shared" si="8"/>
        <v>0</v>
      </c>
      <c r="K27" s="345">
        <f t="shared" si="1"/>
        <v>0</v>
      </c>
      <c r="L27" s="345">
        <f t="shared" si="9"/>
        <v>0</v>
      </c>
      <c r="M27" s="345">
        <f t="shared" si="2"/>
        <v>0</v>
      </c>
      <c r="N27" s="345">
        <f t="shared" si="10"/>
        <v>0</v>
      </c>
      <c r="O27" s="345">
        <f t="shared" si="11"/>
        <v>0</v>
      </c>
      <c r="P27" s="345">
        <v>0</v>
      </c>
      <c r="Q27" s="433">
        <f t="shared" si="3"/>
        <v>0</v>
      </c>
      <c r="R27" s="347"/>
      <c r="S27" s="348">
        <f>'PLANILHA GERAL'!$J$50</f>
        <v>203.44</v>
      </c>
      <c r="T27" s="348">
        <f>'PLANILHA GERAL'!$J$51</f>
        <v>13.75</v>
      </c>
      <c r="U27" s="348">
        <f>'PLANILHA GERAL'!$J$52</f>
        <v>8.0399999999999991</v>
      </c>
      <c r="V27" s="348">
        <f>'PLANILHA GERAL'!$J$53</f>
        <v>3.45</v>
      </c>
      <c r="W27" s="348">
        <f>'PLANILHA GERAL'!$J$54</f>
        <v>7.35</v>
      </c>
      <c r="X27" s="348">
        <f>'PLANILHA GERAL'!$J$55</f>
        <v>60.59</v>
      </c>
      <c r="Y27" s="348">
        <f>'PLANILHA GERAL'!$J$56</f>
        <v>219.78</v>
      </c>
      <c r="Z27" s="348">
        <f>'PLANILHA GERAL'!$J$57</f>
        <v>22.08</v>
      </c>
      <c r="AA27" s="348">
        <f>'PLANILHA GERAL'!$J$58</f>
        <v>51.71</v>
      </c>
      <c r="AB27" s="348">
        <f>'PLANILHA GERAL'!$J$59</f>
        <v>44.1</v>
      </c>
      <c r="AC27" s="348">
        <f t="shared" si="4"/>
        <v>0</v>
      </c>
    </row>
    <row r="28" spans="1:29" s="331" customFormat="1" ht="45" hidden="1" customHeight="1">
      <c r="A28" s="342">
        <f>DADOS!A23</f>
        <v>0</v>
      </c>
      <c r="B28" s="343">
        <f>DADOS!B23</f>
        <v>0</v>
      </c>
      <c r="C28" s="349"/>
      <c r="D28" s="349"/>
      <c r="E28" s="349">
        <f t="shared" si="5"/>
        <v>0</v>
      </c>
      <c r="F28" s="345">
        <f t="shared" si="6"/>
        <v>0.98</v>
      </c>
      <c r="G28" s="345">
        <f t="shared" si="7"/>
        <v>1.08</v>
      </c>
      <c r="H28" s="345">
        <f t="shared" si="0"/>
        <v>0</v>
      </c>
      <c r="I28" s="345">
        <f t="shared" si="12"/>
        <v>0</v>
      </c>
      <c r="J28" s="346">
        <f t="shared" si="8"/>
        <v>0</v>
      </c>
      <c r="K28" s="345">
        <f t="shared" si="1"/>
        <v>0</v>
      </c>
      <c r="L28" s="345">
        <f t="shared" si="9"/>
        <v>0</v>
      </c>
      <c r="M28" s="345">
        <f t="shared" si="2"/>
        <v>0</v>
      </c>
      <c r="N28" s="345">
        <f t="shared" si="10"/>
        <v>0</v>
      </c>
      <c r="O28" s="345">
        <f t="shared" si="11"/>
        <v>0</v>
      </c>
      <c r="P28" s="345">
        <v>0</v>
      </c>
      <c r="Q28" s="433">
        <f t="shared" si="3"/>
        <v>0</v>
      </c>
      <c r="R28" s="347"/>
      <c r="S28" s="348">
        <f>'PLANILHA GERAL'!$J$50</f>
        <v>203.44</v>
      </c>
      <c r="T28" s="348">
        <f>'PLANILHA GERAL'!$J$51</f>
        <v>13.75</v>
      </c>
      <c r="U28" s="348">
        <f>'PLANILHA GERAL'!$J$52</f>
        <v>8.0399999999999991</v>
      </c>
      <c r="V28" s="348">
        <f>'PLANILHA GERAL'!$J$53</f>
        <v>3.45</v>
      </c>
      <c r="W28" s="348">
        <f>'PLANILHA GERAL'!$J$54</f>
        <v>7.35</v>
      </c>
      <c r="X28" s="348">
        <f>'PLANILHA GERAL'!$J$55</f>
        <v>60.59</v>
      </c>
      <c r="Y28" s="348">
        <f>'PLANILHA GERAL'!$J$56</f>
        <v>219.78</v>
      </c>
      <c r="Z28" s="348">
        <f>'PLANILHA GERAL'!$J$57</f>
        <v>22.08</v>
      </c>
      <c r="AA28" s="348">
        <f>'PLANILHA GERAL'!$J$58</f>
        <v>51.71</v>
      </c>
      <c r="AB28" s="348">
        <f>'PLANILHA GERAL'!$J$59</f>
        <v>44.1</v>
      </c>
      <c r="AC28" s="348">
        <f t="shared" si="4"/>
        <v>0</v>
      </c>
    </row>
    <row r="29" spans="1:29" s="331" customFormat="1" ht="45" hidden="1" customHeight="1">
      <c r="A29" s="342">
        <f>DADOS!A24</f>
        <v>0</v>
      </c>
      <c r="B29" s="343">
        <f>DADOS!B24</f>
        <v>0</v>
      </c>
      <c r="C29" s="349"/>
      <c r="D29" s="349"/>
      <c r="E29" s="349">
        <f t="shared" si="5"/>
        <v>0</v>
      </c>
      <c r="F29" s="345">
        <f t="shared" si="6"/>
        <v>0.98</v>
      </c>
      <c r="G29" s="345">
        <f t="shared" si="7"/>
        <v>1.08</v>
      </c>
      <c r="H29" s="345">
        <f t="shared" si="0"/>
        <v>0</v>
      </c>
      <c r="I29" s="345">
        <f t="shared" si="12"/>
        <v>0</v>
      </c>
      <c r="J29" s="346">
        <f t="shared" si="8"/>
        <v>0</v>
      </c>
      <c r="K29" s="345">
        <f t="shared" si="1"/>
        <v>0</v>
      </c>
      <c r="L29" s="345">
        <f t="shared" si="9"/>
        <v>0</v>
      </c>
      <c r="M29" s="345">
        <f t="shared" si="2"/>
        <v>0</v>
      </c>
      <c r="N29" s="345">
        <f t="shared" si="10"/>
        <v>0</v>
      </c>
      <c r="O29" s="345">
        <f t="shared" si="11"/>
        <v>0</v>
      </c>
      <c r="P29" s="345">
        <v>0</v>
      </c>
      <c r="Q29" s="433">
        <f t="shared" si="3"/>
        <v>0</v>
      </c>
      <c r="R29" s="347"/>
      <c r="S29" s="348">
        <f>'PLANILHA GERAL'!$J$50</f>
        <v>203.44</v>
      </c>
      <c r="T29" s="348">
        <f>'PLANILHA GERAL'!$J$51</f>
        <v>13.75</v>
      </c>
      <c r="U29" s="348">
        <f>'PLANILHA GERAL'!$J$52</f>
        <v>8.0399999999999991</v>
      </c>
      <c r="V29" s="348">
        <f>'PLANILHA GERAL'!$J$53</f>
        <v>3.45</v>
      </c>
      <c r="W29" s="348">
        <f>'PLANILHA GERAL'!$J$54</f>
        <v>7.35</v>
      </c>
      <c r="X29" s="348">
        <f>'PLANILHA GERAL'!$J$55</f>
        <v>60.59</v>
      </c>
      <c r="Y29" s="348">
        <f>'PLANILHA GERAL'!$J$56</f>
        <v>219.78</v>
      </c>
      <c r="Z29" s="348">
        <f>'PLANILHA GERAL'!$J$57</f>
        <v>22.08</v>
      </c>
      <c r="AA29" s="348">
        <f>'PLANILHA GERAL'!$J$58</f>
        <v>51.71</v>
      </c>
      <c r="AB29" s="348">
        <f>'PLANILHA GERAL'!$J$59</f>
        <v>44.1</v>
      </c>
      <c r="AC29" s="348">
        <f t="shared" si="4"/>
        <v>0</v>
      </c>
    </row>
    <row r="30" spans="1:29" s="331" customFormat="1" ht="45" hidden="1" customHeight="1">
      <c r="A30" s="342">
        <f>DADOS!A25</f>
        <v>0</v>
      </c>
      <c r="B30" s="343">
        <f>DADOS!B25</f>
        <v>0</v>
      </c>
      <c r="C30" s="349"/>
      <c r="D30" s="349"/>
      <c r="E30" s="349">
        <f t="shared" si="5"/>
        <v>0</v>
      </c>
      <c r="F30" s="345">
        <f t="shared" si="6"/>
        <v>0.98</v>
      </c>
      <c r="G30" s="345">
        <f t="shared" si="7"/>
        <v>1.08</v>
      </c>
      <c r="H30" s="345">
        <f t="shared" si="0"/>
        <v>0</v>
      </c>
      <c r="I30" s="345">
        <f t="shared" si="12"/>
        <v>0</v>
      </c>
      <c r="J30" s="346">
        <f t="shared" si="8"/>
        <v>0</v>
      </c>
      <c r="K30" s="345">
        <f t="shared" si="1"/>
        <v>0</v>
      </c>
      <c r="L30" s="345">
        <f t="shared" si="9"/>
        <v>0</v>
      </c>
      <c r="M30" s="345">
        <f t="shared" si="2"/>
        <v>0</v>
      </c>
      <c r="N30" s="345">
        <f t="shared" si="10"/>
        <v>0</v>
      </c>
      <c r="O30" s="345">
        <f t="shared" si="11"/>
        <v>0</v>
      </c>
      <c r="P30" s="345">
        <v>0</v>
      </c>
      <c r="Q30" s="433">
        <f t="shared" si="3"/>
        <v>0</v>
      </c>
      <c r="R30" s="347"/>
      <c r="S30" s="348">
        <f>'PLANILHA GERAL'!$J$50</f>
        <v>203.44</v>
      </c>
      <c r="T30" s="348">
        <f>'PLANILHA GERAL'!$J$51</f>
        <v>13.75</v>
      </c>
      <c r="U30" s="348">
        <f>'PLANILHA GERAL'!$J$52</f>
        <v>8.0399999999999991</v>
      </c>
      <c r="V30" s="348">
        <f>'PLANILHA GERAL'!$J$53</f>
        <v>3.45</v>
      </c>
      <c r="W30" s="348">
        <f>'PLANILHA GERAL'!$J$54</f>
        <v>7.35</v>
      </c>
      <c r="X30" s="348">
        <f>'PLANILHA GERAL'!$J$55</f>
        <v>60.59</v>
      </c>
      <c r="Y30" s="348">
        <f>'PLANILHA GERAL'!$J$56</f>
        <v>219.78</v>
      </c>
      <c r="Z30" s="348">
        <f>'PLANILHA GERAL'!$J$57</f>
        <v>22.08</v>
      </c>
      <c r="AA30" s="348">
        <f>'PLANILHA GERAL'!$J$58</f>
        <v>51.71</v>
      </c>
      <c r="AB30" s="348">
        <f>'PLANILHA GERAL'!$J$59</f>
        <v>44.1</v>
      </c>
      <c r="AC30" s="348">
        <f t="shared" si="4"/>
        <v>0</v>
      </c>
    </row>
    <row r="31" spans="1:29" s="331" customFormat="1" ht="45" hidden="1" customHeight="1">
      <c r="A31" s="342">
        <f>DADOS!A26</f>
        <v>0</v>
      </c>
      <c r="B31" s="343">
        <f>DADOS!B26</f>
        <v>0</v>
      </c>
      <c r="C31" s="349"/>
      <c r="D31" s="349"/>
      <c r="E31" s="349">
        <f t="shared" si="5"/>
        <v>0</v>
      </c>
      <c r="F31" s="345">
        <f t="shared" si="6"/>
        <v>0.98</v>
      </c>
      <c r="G31" s="345">
        <f t="shared" si="7"/>
        <v>1.08</v>
      </c>
      <c r="H31" s="345">
        <f t="shared" si="0"/>
        <v>0</v>
      </c>
      <c r="I31" s="345">
        <f t="shared" si="12"/>
        <v>0</v>
      </c>
      <c r="J31" s="346">
        <f t="shared" si="8"/>
        <v>0</v>
      </c>
      <c r="K31" s="345">
        <f t="shared" si="1"/>
        <v>0</v>
      </c>
      <c r="L31" s="345">
        <f t="shared" si="9"/>
        <v>0</v>
      </c>
      <c r="M31" s="345">
        <f t="shared" si="2"/>
        <v>0</v>
      </c>
      <c r="N31" s="345">
        <f t="shared" si="10"/>
        <v>0</v>
      </c>
      <c r="O31" s="345">
        <f t="shared" si="11"/>
        <v>0</v>
      </c>
      <c r="P31" s="345">
        <v>0</v>
      </c>
      <c r="Q31" s="433">
        <f t="shared" si="3"/>
        <v>0</v>
      </c>
      <c r="R31" s="347"/>
      <c r="S31" s="348">
        <f>'PLANILHA GERAL'!$J$50</f>
        <v>203.44</v>
      </c>
      <c r="T31" s="348">
        <f>'PLANILHA GERAL'!$J$51</f>
        <v>13.75</v>
      </c>
      <c r="U31" s="348">
        <f>'PLANILHA GERAL'!$J$52</f>
        <v>8.0399999999999991</v>
      </c>
      <c r="V31" s="348">
        <f>'PLANILHA GERAL'!$J$53</f>
        <v>3.45</v>
      </c>
      <c r="W31" s="348">
        <f>'PLANILHA GERAL'!$J$54</f>
        <v>7.35</v>
      </c>
      <c r="X31" s="348">
        <f>'PLANILHA GERAL'!$J$55</f>
        <v>60.59</v>
      </c>
      <c r="Y31" s="348">
        <f>'PLANILHA GERAL'!$J$56</f>
        <v>219.78</v>
      </c>
      <c r="Z31" s="348">
        <f>'PLANILHA GERAL'!$J$57</f>
        <v>22.08</v>
      </c>
      <c r="AA31" s="348">
        <f>'PLANILHA GERAL'!$J$58</f>
        <v>51.71</v>
      </c>
      <c r="AB31" s="348">
        <f>'PLANILHA GERAL'!$J$59</f>
        <v>44.1</v>
      </c>
      <c r="AC31" s="348">
        <f t="shared" si="4"/>
        <v>0</v>
      </c>
    </row>
    <row r="32" spans="1:29" s="331" customFormat="1" ht="45" hidden="1" customHeight="1">
      <c r="A32" s="342">
        <f>DADOS!A27</f>
        <v>0</v>
      </c>
      <c r="B32" s="343">
        <f>DADOS!B27</f>
        <v>0</v>
      </c>
      <c r="C32" s="349"/>
      <c r="D32" s="349"/>
      <c r="E32" s="349">
        <f t="shared" si="5"/>
        <v>0</v>
      </c>
      <c r="F32" s="345">
        <f t="shared" si="6"/>
        <v>0.98</v>
      </c>
      <c r="G32" s="345">
        <f t="shared" si="7"/>
        <v>1.08</v>
      </c>
      <c r="H32" s="345">
        <f t="shared" si="0"/>
        <v>0</v>
      </c>
      <c r="I32" s="345">
        <f t="shared" si="12"/>
        <v>0</v>
      </c>
      <c r="J32" s="346">
        <f t="shared" si="8"/>
        <v>0</v>
      </c>
      <c r="K32" s="345">
        <f t="shared" si="1"/>
        <v>0</v>
      </c>
      <c r="L32" s="345">
        <f t="shared" si="9"/>
        <v>0</v>
      </c>
      <c r="M32" s="345">
        <f t="shared" si="2"/>
        <v>0</v>
      </c>
      <c r="N32" s="345">
        <f t="shared" si="10"/>
        <v>0</v>
      </c>
      <c r="O32" s="345">
        <f t="shared" si="11"/>
        <v>0</v>
      </c>
      <c r="P32" s="345">
        <v>0</v>
      </c>
      <c r="Q32" s="433">
        <f t="shared" si="3"/>
        <v>0</v>
      </c>
      <c r="R32" s="347"/>
      <c r="S32" s="348">
        <f>'PLANILHA GERAL'!$J$50</f>
        <v>203.44</v>
      </c>
      <c r="T32" s="348">
        <f>'PLANILHA GERAL'!$J$51</f>
        <v>13.75</v>
      </c>
      <c r="U32" s="348">
        <f>'PLANILHA GERAL'!$J$52</f>
        <v>8.0399999999999991</v>
      </c>
      <c r="V32" s="348">
        <f>'PLANILHA GERAL'!$J$53</f>
        <v>3.45</v>
      </c>
      <c r="W32" s="348">
        <f>'PLANILHA GERAL'!$J$54</f>
        <v>7.35</v>
      </c>
      <c r="X32" s="348">
        <f>'PLANILHA GERAL'!$J$55</f>
        <v>60.59</v>
      </c>
      <c r="Y32" s="348">
        <f>'PLANILHA GERAL'!$J$56</f>
        <v>219.78</v>
      </c>
      <c r="Z32" s="348">
        <f>'PLANILHA GERAL'!$J$57</f>
        <v>22.08</v>
      </c>
      <c r="AA32" s="348">
        <f>'PLANILHA GERAL'!$J$58</f>
        <v>51.71</v>
      </c>
      <c r="AB32" s="348">
        <f>'PLANILHA GERAL'!$J$59</f>
        <v>44.1</v>
      </c>
      <c r="AC32" s="348">
        <f t="shared" si="4"/>
        <v>0</v>
      </c>
    </row>
    <row r="33" spans="1:29" s="331" customFormat="1" ht="45" hidden="1" customHeight="1">
      <c r="A33" s="342">
        <f>DADOS!A28</f>
        <v>0</v>
      </c>
      <c r="B33" s="343">
        <f>DADOS!B28</f>
        <v>0</v>
      </c>
      <c r="C33" s="349"/>
      <c r="D33" s="349"/>
      <c r="E33" s="349">
        <f t="shared" si="5"/>
        <v>0</v>
      </c>
      <c r="F33" s="345">
        <f t="shared" si="6"/>
        <v>0.98</v>
      </c>
      <c r="G33" s="345">
        <f t="shared" si="7"/>
        <v>1.08</v>
      </c>
      <c r="H33" s="345">
        <f t="shared" si="0"/>
        <v>0</v>
      </c>
      <c r="I33" s="345">
        <f t="shared" si="12"/>
        <v>0</v>
      </c>
      <c r="J33" s="346">
        <f t="shared" si="8"/>
        <v>0</v>
      </c>
      <c r="K33" s="345">
        <f t="shared" si="1"/>
        <v>0</v>
      </c>
      <c r="L33" s="345">
        <f t="shared" si="9"/>
        <v>0</v>
      </c>
      <c r="M33" s="345">
        <f t="shared" si="2"/>
        <v>0</v>
      </c>
      <c r="N33" s="345">
        <f t="shared" si="10"/>
        <v>0</v>
      </c>
      <c r="O33" s="345">
        <f t="shared" si="11"/>
        <v>0</v>
      </c>
      <c r="P33" s="345">
        <v>0</v>
      </c>
      <c r="Q33" s="433">
        <f t="shared" si="3"/>
        <v>0</v>
      </c>
      <c r="R33" s="347"/>
      <c r="S33" s="348">
        <f>'PLANILHA GERAL'!$J$50</f>
        <v>203.44</v>
      </c>
      <c r="T33" s="348">
        <f>'PLANILHA GERAL'!$J$51</f>
        <v>13.75</v>
      </c>
      <c r="U33" s="348">
        <f>'PLANILHA GERAL'!$J$52</f>
        <v>8.0399999999999991</v>
      </c>
      <c r="V33" s="348">
        <f>'PLANILHA GERAL'!$J$53</f>
        <v>3.45</v>
      </c>
      <c r="W33" s="348">
        <f>'PLANILHA GERAL'!$J$54</f>
        <v>7.35</v>
      </c>
      <c r="X33" s="348">
        <f>'PLANILHA GERAL'!$J$55</f>
        <v>60.59</v>
      </c>
      <c r="Y33" s="348">
        <f>'PLANILHA GERAL'!$J$56</f>
        <v>219.78</v>
      </c>
      <c r="Z33" s="348">
        <f>'PLANILHA GERAL'!$J$57</f>
        <v>22.08</v>
      </c>
      <c r="AA33" s="348">
        <f>'PLANILHA GERAL'!$J$58</f>
        <v>51.71</v>
      </c>
      <c r="AB33" s="348">
        <f>'PLANILHA GERAL'!$J$59</f>
        <v>44.1</v>
      </c>
      <c r="AC33" s="348">
        <f t="shared" si="4"/>
        <v>0</v>
      </c>
    </row>
    <row r="34" spans="1:29" s="331" customFormat="1" ht="45" hidden="1" customHeight="1">
      <c r="A34" s="342">
        <f>DADOS!A29</f>
        <v>0</v>
      </c>
      <c r="B34" s="343">
        <f>DADOS!B29</f>
        <v>0</v>
      </c>
      <c r="C34" s="349"/>
      <c r="D34" s="349"/>
      <c r="E34" s="349">
        <f t="shared" si="5"/>
        <v>0</v>
      </c>
      <c r="F34" s="345">
        <f t="shared" si="6"/>
        <v>0.98</v>
      </c>
      <c r="G34" s="345">
        <f t="shared" si="7"/>
        <v>1.08</v>
      </c>
      <c r="H34" s="345">
        <f t="shared" si="0"/>
        <v>0</v>
      </c>
      <c r="I34" s="345">
        <f t="shared" si="12"/>
        <v>0</v>
      </c>
      <c r="J34" s="346">
        <f t="shared" si="8"/>
        <v>0</v>
      </c>
      <c r="K34" s="345">
        <f t="shared" si="1"/>
        <v>0</v>
      </c>
      <c r="L34" s="345">
        <f t="shared" si="9"/>
        <v>0</v>
      </c>
      <c r="M34" s="345">
        <f t="shared" si="2"/>
        <v>0</v>
      </c>
      <c r="N34" s="345">
        <f t="shared" si="10"/>
        <v>0</v>
      </c>
      <c r="O34" s="345">
        <f t="shared" si="11"/>
        <v>0</v>
      </c>
      <c r="P34" s="345">
        <v>0</v>
      </c>
      <c r="Q34" s="433">
        <f t="shared" si="3"/>
        <v>0</v>
      </c>
      <c r="R34" s="347"/>
      <c r="S34" s="348">
        <f>'PLANILHA GERAL'!$J$50</f>
        <v>203.44</v>
      </c>
      <c r="T34" s="348">
        <f>'PLANILHA GERAL'!$J$51</f>
        <v>13.75</v>
      </c>
      <c r="U34" s="348">
        <f>'PLANILHA GERAL'!$J$52</f>
        <v>8.0399999999999991</v>
      </c>
      <c r="V34" s="348">
        <f>'PLANILHA GERAL'!$J$53</f>
        <v>3.45</v>
      </c>
      <c r="W34" s="348">
        <f>'PLANILHA GERAL'!$J$54</f>
        <v>7.35</v>
      </c>
      <c r="X34" s="348">
        <f>'PLANILHA GERAL'!$J$55</f>
        <v>60.59</v>
      </c>
      <c r="Y34" s="348">
        <f>'PLANILHA GERAL'!$J$56</f>
        <v>219.78</v>
      </c>
      <c r="Z34" s="348">
        <f>'PLANILHA GERAL'!$J$57</f>
        <v>22.08</v>
      </c>
      <c r="AA34" s="348">
        <f>'PLANILHA GERAL'!$J$58</f>
        <v>51.71</v>
      </c>
      <c r="AB34" s="348">
        <f>'PLANILHA GERAL'!$J$59</f>
        <v>44.1</v>
      </c>
      <c r="AC34" s="348">
        <f t="shared" si="4"/>
        <v>0</v>
      </c>
    </row>
    <row r="35" spans="1:29" s="331" customFormat="1" ht="45" hidden="1" customHeight="1">
      <c r="A35" s="342">
        <f>DADOS!A30</f>
        <v>0</v>
      </c>
      <c r="B35" s="343">
        <f>DADOS!B30</f>
        <v>0</v>
      </c>
      <c r="C35" s="349"/>
      <c r="D35" s="349"/>
      <c r="E35" s="349">
        <f t="shared" si="5"/>
        <v>0</v>
      </c>
      <c r="F35" s="345">
        <f t="shared" si="6"/>
        <v>0.98</v>
      </c>
      <c r="G35" s="345">
        <f t="shared" si="7"/>
        <v>1.08</v>
      </c>
      <c r="H35" s="345">
        <f t="shared" si="0"/>
        <v>0</v>
      </c>
      <c r="I35" s="345">
        <f t="shared" si="12"/>
        <v>0</v>
      </c>
      <c r="J35" s="346">
        <f t="shared" si="8"/>
        <v>0</v>
      </c>
      <c r="K35" s="345">
        <f t="shared" si="1"/>
        <v>0</v>
      </c>
      <c r="L35" s="345">
        <f t="shared" si="9"/>
        <v>0</v>
      </c>
      <c r="M35" s="345">
        <f t="shared" si="2"/>
        <v>0</v>
      </c>
      <c r="N35" s="345">
        <f t="shared" si="10"/>
        <v>0</v>
      </c>
      <c r="O35" s="345">
        <f t="shared" si="11"/>
        <v>0</v>
      </c>
      <c r="P35" s="345">
        <v>0</v>
      </c>
      <c r="Q35" s="433">
        <f t="shared" si="3"/>
        <v>0</v>
      </c>
      <c r="R35" s="347"/>
      <c r="S35" s="348">
        <f>'PLANILHA GERAL'!$J$50</f>
        <v>203.44</v>
      </c>
      <c r="T35" s="348">
        <f>'PLANILHA GERAL'!$J$51</f>
        <v>13.75</v>
      </c>
      <c r="U35" s="348">
        <f>'PLANILHA GERAL'!$J$52</f>
        <v>8.0399999999999991</v>
      </c>
      <c r="V35" s="348">
        <f>'PLANILHA GERAL'!$J$53</f>
        <v>3.45</v>
      </c>
      <c r="W35" s="348">
        <f>'PLANILHA GERAL'!$J$54</f>
        <v>7.35</v>
      </c>
      <c r="X35" s="348">
        <f>'PLANILHA GERAL'!$J$55</f>
        <v>60.59</v>
      </c>
      <c r="Y35" s="348">
        <f>'PLANILHA GERAL'!$J$56</f>
        <v>219.78</v>
      </c>
      <c r="Z35" s="348">
        <f>'PLANILHA GERAL'!$J$57</f>
        <v>22.08</v>
      </c>
      <c r="AA35" s="348">
        <f>'PLANILHA GERAL'!$J$58</f>
        <v>51.71</v>
      </c>
      <c r="AB35" s="348">
        <f>'PLANILHA GERAL'!$J$59</f>
        <v>44.1</v>
      </c>
      <c r="AC35" s="348">
        <f t="shared" si="4"/>
        <v>0</v>
      </c>
    </row>
    <row r="36" spans="1:29" s="331" customFormat="1" ht="45" hidden="1" customHeight="1">
      <c r="A36" s="342">
        <f>DADOS!A31</f>
        <v>0</v>
      </c>
      <c r="B36" s="343">
        <f>DADOS!B31</f>
        <v>0</v>
      </c>
      <c r="C36" s="349"/>
      <c r="D36" s="349"/>
      <c r="E36" s="349">
        <f t="shared" si="5"/>
        <v>0</v>
      </c>
      <c r="F36" s="345">
        <f t="shared" si="6"/>
        <v>0.98</v>
      </c>
      <c r="G36" s="345">
        <f t="shared" si="7"/>
        <v>1.08</v>
      </c>
      <c r="H36" s="345">
        <f t="shared" si="0"/>
        <v>0</v>
      </c>
      <c r="I36" s="345">
        <f t="shared" si="12"/>
        <v>0</v>
      </c>
      <c r="J36" s="346">
        <f t="shared" si="8"/>
        <v>0</v>
      </c>
      <c r="K36" s="345">
        <f t="shared" si="1"/>
        <v>0</v>
      </c>
      <c r="L36" s="345">
        <f t="shared" si="9"/>
        <v>0</v>
      </c>
      <c r="M36" s="345">
        <f t="shared" si="2"/>
        <v>0</v>
      </c>
      <c r="N36" s="345">
        <f t="shared" si="10"/>
        <v>0</v>
      </c>
      <c r="O36" s="345">
        <f t="shared" si="11"/>
        <v>0</v>
      </c>
      <c r="P36" s="345">
        <v>0</v>
      </c>
      <c r="Q36" s="433">
        <f t="shared" si="3"/>
        <v>0</v>
      </c>
      <c r="R36" s="347"/>
      <c r="S36" s="348">
        <f>'PLANILHA GERAL'!$J$50</f>
        <v>203.44</v>
      </c>
      <c r="T36" s="348">
        <f>'PLANILHA GERAL'!$J$51</f>
        <v>13.75</v>
      </c>
      <c r="U36" s="348">
        <f>'PLANILHA GERAL'!$J$52</f>
        <v>8.0399999999999991</v>
      </c>
      <c r="V36" s="348">
        <f>'PLANILHA GERAL'!$J$53</f>
        <v>3.45</v>
      </c>
      <c r="W36" s="348">
        <f>'PLANILHA GERAL'!$J$54</f>
        <v>7.35</v>
      </c>
      <c r="X36" s="348">
        <f>'PLANILHA GERAL'!$J$55</f>
        <v>60.59</v>
      </c>
      <c r="Y36" s="348">
        <f>'PLANILHA GERAL'!$J$56</f>
        <v>219.78</v>
      </c>
      <c r="Z36" s="348">
        <f>'PLANILHA GERAL'!$J$57</f>
        <v>22.08</v>
      </c>
      <c r="AA36" s="348">
        <f>'PLANILHA GERAL'!$J$58</f>
        <v>51.71</v>
      </c>
      <c r="AB36" s="348">
        <f>'PLANILHA GERAL'!$J$59</f>
        <v>44.1</v>
      </c>
      <c r="AC36" s="348">
        <f t="shared" si="4"/>
        <v>0</v>
      </c>
    </row>
    <row r="37" spans="1:29" s="331" customFormat="1" ht="45" hidden="1" customHeight="1">
      <c r="A37" s="342">
        <f>DADOS!A32</f>
        <v>0</v>
      </c>
      <c r="B37" s="343">
        <f>DADOS!B32</f>
        <v>0</v>
      </c>
      <c r="C37" s="349"/>
      <c r="D37" s="349"/>
      <c r="E37" s="349">
        <f t="shared" ref="E37:E54" si="13">C37*D37</f>
        <v>0</v>
      </c>
      <c r="F37" s="345">
        <f t="shared" si="6"/>
        <v>0.98</v>
      </c>
      <c r="G37" s="345">
        <f t="shared" si="7"/>
        <v>1.08</v>
      </c>
      <c r="H37" s="345">
        <f t="shared" ref="H37:H54" si="14">E37*F37*G37</f>
        <v>0</v>
      </c>
      <c r="I37" s="345">
        <f t="shared" si="12"/>
        <v>0</v>
      </c>
      <c r="J37" s="346">
        <f t="shared" ref="J37:J54" si="15">I37*1.25*$J$16</f>
        <v>0</v>
      </c>
      <c r="K37" s="345">
        <f t="shared" ref="K37:K54" si="16">E37*F37</f>
        <v>0</v>
      </c>
      <c r="L37" s="345">
        <f t="shared" ref="L37:L54" si="17">K37</f>
        <v>0</v>
      </c>
      <c r="M37" s="345">
        <f t="shared" ref="M37:M54" si="18">(3.14*0.2^2)*E37</f>
        <v>0</v>
      </c>
      <c r="N37" s="345">
        <f t="shared" ref="N37:N54" si="19">(H37-M37)*70%</f>
        <v>0</v>
      </c>
      <c r="O37" s="345">
        <f t="shared" ref="O37:O54" si="20">(H37-M37)*30%</f>
        <v>0</v>
      </c>
      <c r="P37" s="345">
        <v>0</v>
      </c>
      <c r="Q37" s="433">
        <f t="shared" ref="Q37:Q54" si="21">E37</f>
        <v>0</v>
      </c>
      <c r="R37" s="347"/>
      <c r="S37" s="348">
        <f>'PLANILHA GERAL'!$J$50</f>
        <v>203.44</v>
      </c>
      <c r="T37" s="348">
        <f>'PLANILHA GERAL'!$J$51</f>
        <v>13.75</v>
      </c>
      <c r="U37" s="348">
        <f>'PLANILHA GERAL'!$J$52</f>
        <v>8.0399999999999991</v>
      </c>
      <c r="V37" s="348">
        <f>'PLANILHA GERAL'!$J$53</f>
        <v>3.45</v>
      </c>
      <c r="W37" s="348">
        <f>'PLANILHA GERAL'!$J$54</f>
        <v>7.35</v>
      </c>
      <c r="X37" s="348">
        <f>'PLANILHA GERAL'!$J$55</f>
        <v>60.59</v>
      </c>
      <c r="Y37" s="348">
        <f>'PLANILHA GERAL'!$J$56</f>
        <v>219.78</v>
      </c>
      <c r="Z37" s="348">
        <f>'PLANILHA GERAL'!$J$57</f>
        <v>22.08</v>
      </c>
      <c r="AA37" s="348">
        <f>'PLANILHA GERAL'!$J$58</f>
        <v>51.71</v>
      </c>
      <c r="AB37" s="348">
        <f>'PLANILHA GERAL'!$J$59</f>
        <v>44.1</v>
      </c>
      <c r="AC37" s="348">
        <f>(E37*S37)+(H37*T37)+(I37*U37)+(J37*V37)+(K37*W37)+(L37*X37)+(N37*Y37)+(O37*Z37)+(P37*AA37)+(Q37*AB37)</f>
        <v>0</v>
      </c>
    </row>
    <row r="38" spans="1:29" s="331" customFormat="1" ht="45" hidden="1" customHeight="1">
      <c r="A38" s="342">
        <f>DADOS!A33</f>
        <v>0</v>
      </c>
      <c r="B38" s="343">
        <f>DADOS!B33</f>
        <v>0</v>
      </c>
      <c r="C38" s="349"/>
      <c r="D38" s="349"/>
      <c r="E38" s="349">
        <f t="shared" si="13"/>
        <v>0</v>
      </c>
      <c r="F38" s="345">
        <f t="shared" si="6"/>
        <v>0.98</v>
      </c>
      <c r="G38" s="345">
        <f t="shared" si="7"/>
        <v>1.08</v>
      </c>
      <c r="H38" s="345">
        <f t="shared" si="14"/>
        <v>0</v>
      </c>
      <c r="I38" s="345">
        <f t="shared" si="12"/>
        <v>0</v>
      </c>
      <c r="J38" s="346">
        <f t="shared" si="15"/>
        <v>0</v>
      </c>
      <c r="K38" s="345">
        <f t="shared" si="16"/>
        <v>0</v>
      </c>
      <c r="L38" s="345">
        <f t="shared" si="17"/>
        <v>0</v>
      </c>
      <c r="M38" s="345">
        <f t="shared" si="18"/>
        <v>0</v>
      </c>
      <c r="N38" s="345">
        <f t="shared" si="19"/>
        <v>0</v>
      </c>
      <c r="O38" s="345">
        <f t="shared" si="20"/>
        <v>0</v>
      </c>
      <c r="P38" s="345">
        <v>0</v>
      </c>
      <c r="Q38" s="433">
        <f t="shared" si="21"/>
        <v>0</v>
      </c>
      <c r="R38" s="347"/>
      <c r="S38" s="348">
        <f>'PLANILHA GERAL'!$J$50</f>
        <v>203.44</v>
      </c>
      <c r="T38" s="348">
        <f>'PLANILHA GERAL'!$J$51</f>
        <v>13.75</v>
      </c>
      <c r="U38" s="348">
        <f>'PLANILHA GERAL'!$J$52</f>
        <v>8.0399999999999991</v>
      </c>
      <c r="V38" s="348">
        <f>'PLANILHA GERAL'!$J$53</f>
        <v>3.45</v>
      </c>
      <c r="W38" s="348">
        <f>'PLANILHA GERAL'!$J$54</f>
        <v>7.35</v>
      </c>
      <c r="X38" s="348">
        <f>'PLANILHA GERAL'!$J$55</f>
        <v>60.59</v>
      </c>
      <c r="Y38" s="348">
        <f>'PLANILHA GERAL'!$J$56</f>
        <v>219.78</v>
      </c>
      <c r="Z38" s="348">
        <f>'PLANILHA GERAL'!$J$57</f>
        <v>22.08</v>
      </c>
      <c r="AA38" s="348">
        <f>'PLANILHA GERAL'!$J$58</f>
        <v>51.71</v>
      </c>
      <c r="AB38" s="348">
        <f>'PLANILHA GERAL'!$J$59</f>
        <v>44.1</v>
      </c>
      <c r="AC38" s="348">
        <f t="shared" si="4"/>
        <v>0</v>
      </c>
    </row>
    <row r="39" spans="1:29" s="331" customFormat="1" ht="45" hidden="1" customHeight="1">
      <c r="A39" s="342">
        <f>DADOS!A34</f>
        <v>0</v>
      </c>
      <c r="B39" s="343">
        <f>DADOS!B34</f>
        <v>0</v>
      </c>
      <c r="C39" s="349"/>
      <c r="D39" s="349"/>
      <c r="E39" s="349">
        <f t="shared" si="13"/>
        <v>0</v>
      </c>
      <c r="F39" s="345">
        <f t="shared" si="6"/>
        <v>0.98</v>
      </c>
      <c r="G39" s="345">
        <f t="shared" si="7"/>
        <v>1.08</v>
      </c>
      <c r="H39" s="345">
        <f t="shared" si="14"/>
        <v>0</v>
      </c>
      <c r="I39" s="345">
        <f t="shared" si="12"/>
        <v>0</v>
      </c>
      <c r="J39" s="346">
        <f t="shared" si="15"/>
        <v>0</v>
      </c>
      <c r="K39" s="345">
        <f t="shared" si="16"/>
        <v>0</v>
      </c>
      <c r="L39" s="345">
        <f t="shared" si="17"/>
        <v>0</v>
      </c>
      <c r="M39" s="345">
        <f t="shared" si="18"/>
        <v>0</v>
      </c>
      <c r="N39" s="345">
        <f t="shared" si="19"/>
        <v>0</v>
      </c>
      <c r="O39" s="345">
        <f t="shared" si="20"/>
        <v>0</v>
      </c>
      <c r="P39" s="345">
        <v>0</v>
      </c>
      <c r="Q39" s="433">
        <f t="shared" si="21"/>
        <v>0</v>
      </c>
      <c r="R39" s="347"/>
      <c r="S39" s="348">
        <f>'PLANILHA GERAL'!$J$50</f>
        <v>203.44</v>
      </c>
      <c r="T39" s="348">
        <f>'PLANILHA GERAL'!$J$51</f>
        <v>13.75</v>
      </c>
      <c r="U39" s="348">
        <f>'PLANILHA GERAL'!$J$52</f>
        <v>8.0399999999999991</v>
      </c>
      <c r="V39" s="348">
        <f>'PLANILHA GERAL'!$J$53</f>
        <v>3.45</v>
      </c>
      <c r="W39" s="348">
        <f>'PLANILHA GERAL'!$J$54</f>
        <v>7.35</v>
      </c>
      <c r="X39" s="348">
        <f>'PLANILHA GERAL'!$J$55</f>
        <v>60.59</v>
      </c>
      <c r="Y39" s="348">
        <f>'PLANILHA GERAL'!$J$56</f>
        <v>219.78</v>
      </c>
      <c r="Z39" s="348">
        <f>'PLANILHA GERAL'!$J$57</f>
        <v>22.08</v>
      </c>
      <c r="AA39" s="348">
        <f>'PLANILHA GERAL'!$J$58</f>
        <v>51.71</v>
      </c>
      <c r="AB39" s="348">
        <f>'PLANILHA GERAL'!$J$59</f>
        <v>44.1</v>
      </c>
      <c r="AC39" s="348">
        <f t="shared" si="4"/>
        <v>0</v>
      </c>
    </row>
    <row r="40" spans="1:29" s="331" customFormat="1" ht="45" hidden="1" customHeight="1">
      <c r="A40" s="342">
        <f>DADOS!A35</f>
        <v>0</v>
      </c>
      <c r="B40" s="343">
        <f>DADOS!B35</f>
        <v>0</v>
      </c>
      <c r="C40" s="349"/>
      <c r="D40" s="349"/>
      <c r="E40" s="349">
        <f t="shared" si="13"/>
        <v>0</v>
      </c>
      <c r="F40" s="345">
        <f t="shared" si="6"/>
        <v>0.98</v>
      </c>
      <c r="G40" s="345">
        <f t="shared" si="7"/>
        <v>1.08</v>
      </c>
      <c r="H40" s="345">
        <f t="shared" si="14"/>
        <v>0</v>
      </c>
      <c r="I40" s="345">
        <f t="shared" si="12"/>
        <v>0</v>
      </c>
      <c r="J40" s="346">
        <f t="shared" si="15"/>
        <v>0</v>
      </c>
      <c r="K40" s="345">
        <f t="shared" si="16"/>
        <v>0</v>
      </c>
      <c r="L40" s="345">
        <f t="shared" si="17"/>
        <v>0</v>
      </c>
      <c r="M40" s="345">
        <f t="shared" si="18"/>
        <v>0</v>
      </c>
      <c r="N40" s="345">
        <f t="shared" si="19"/>
        <v>0</v>
      </c>
      <c r="O40" s="345">
        <f t="shared" si="20"/>
        <v>0</v>
      </c>
      <c r="P40" s="345">
        <v>0</v>
      </c>
      <c r="Q40" s="433">
        <f t="shared" si="21"/>
        <v>0</v>
      </c>
      <c r="R40" s="347"/>
      <c r="S40" s="348">
        <f>'PLANILHA GERAL'!$J$50</f>
        <v>203.44</v>
      </c>
      <c r="T40" s="348">
        <f>'PLANILHA GERAL'!$J$51</f>
        <v>13.75</v>
      </c>
      <c r="U40" s="348">
        <f>'PLANILHA GERAL'!$J$52</f>
        <v>8.0399999999999991</v>
      </c>
      <c r="V40" s="348">
        <f>'PLANILHA GERAL'!$J$53</f>
        <v>3.45</v>
      </c>
      <c r="W40" s="348">
        <f>'PLANILHA GERAL'!$J$54</f>
        <v>7.35</v>
      </c>
      <c r="X40" s="348">
        <f>'PLANILHA GERAL'!$J$55</f>
        <v>60.59</v>
      </c>
      <c r="Y40" s="348">
        <f>'PLANILHA GERAL'!$J$56</f>
        <v>219.78</v>
      </c>
      <c r="Z40" s="348">
        <f>'PLANILHA GERAL'!$J$57</f>
        <v>22.08</v>
      </c>
      <c r="AA40" s="348">
        <f>'PLANILHA GERAL'!$J$58</f>
        <v>51.71</v>
      </c>
      <c r="AB40" s="348">
        <f>'PLANILHA GERAL'!$J$59</f>
        <v>44.1</v>
      </c>
      <c r="AC40" s="348">
        <f t="shared" si="4"/>
        <v>0</v>
      </c>
    </row>
    <row r="41" spans="1:29" s="331" customFormat="1" ht="45" hidden="1" customHeight="1">
      <c r="A41" s="342">
        <f>DADOS!A36</f>
        <v>0</v>
      </c>
      <c r="B41" s="343">
        <f>DADOS!B36</f>
        <v>0</v>
      </c>
      <c r="C41" s="349"/>
      <c r="D41" s="349"/>
      <c r="E41" s="349">
        <f t="shared" si="13"/>
        <v>0</v>
      </c>
      <c r="F41" s="345">
        <f t="shared" si="6"/>
        <v>0.98</v>
      </c>
      <c r="G41" s="345">
        <f t="shared" si="7"/>
        <v>1.08</v>
      </c>
      <c r="H41" s="345">
        <f t="shared" si="14"/>
        <v>0</v>
      </c>
      <c r="I41" s="345">
        <f t="shared" si="12"/>
        <v>0</v>
      </c>
      <c r="J41" s="346">
        <f t="shared" si="15"/>
        <v>0</v>
      </c>
      <c r="K41" s="345">
        <f t="shared" si="16"/>
        <v>0</v>
      </c>
      <c r="L41" s="345">
        <f t="shared" si="17"/>
        <v>0</v>
      </c>
      <c r="M41" s="345">
        <f t="shared" si="18"/>
        <v>0</v>
      </c>
      <c r="N41" s="345">
        <f t="shared" si="19"/>
        <v>0</v>
      </c>
      <c r="O41" s="345">
        <f t="shared" si="20"/>
        <v>0</v>
      </c>
      <c r="P41" s="345">
        <v>0</v>
      </c>
      <c r="Q41" s="433">
        <f t="shared" si="21"/>
        <v>0</v>
      </c>
      <c r="R41" s="347"/>
      <c r="S41" s="348">
        <f>'PLANILHA GERAL'!$J$50</f>
        <v>203.44</v>
      </c>
      <c r="T41" s="348">
        <f>'PLANILHA GERAL'!$J$51</f>
        <v>13.75</v>
      </c>
      <c r="U41" s="348">
        <f>'PLANILHA GERAL'!$J$52</f>
        <v>8.0399999999999991</v>
      </c>
      <c r="V41" s="348">
        <f>'PLANILHA GERAL'!$J$53</f>
        <v>3.45</v>
      </c>
      <c r="W41" s="348">
        <f>'PLANILHA GERAL'!$J$54</f>
        <v>7.35</v>
      </c>
      <c r="X41" s="348">
        <f>'PLANILHA GERAL'!$J$55</f>
        <v>60.59</v>
      </c>
      <c r="Y41" s="348">
        <f>'PLANILHA GERAL'!$J$56</f>
        <v>219.78</v>
      </c>
      <c r="Z41" s="348">
        <f>'PLANILHA GERAL'!$J$57</f>
        <v>22.08</v>
      </c>
      <c r="AA41" s="348">
        <f>'PLANILHA GERAL'!$J$58</f>
        <v>51.71</v>
      </c>
      <c r="AB41" s="348">
        <f>'PLANILHA GERAL'!$J$59</f>
        <v>44.1</v>
      </c>
      <c r="AC41" s="348">
        <f t="shared" si="4"/>
        <v>0</v>
      </c>
    </row>
    <row r="42" spans="1:29" s="331" customFormat="1" ht="45" hidden="1" customHeight="1">
      <c r="A42" s="342">
        <f>DADOS!A37</f>
        <v>0</v>
      </c>
      <c r="B42" s="343">
        <f>DADOS!B37</f>
        <v>0</v>
      </c>
      <c r="C42" s="349"/>
      <c r="D42" s="349"/>
      <c r="E42" s="349">
        <f t="shared" si="13"/>
        <v>0</v>
      </c>
      <c r="F42" s="345">
        <f t="shared" si="6"/>
        <v>0.98</v>
      </c>
      <c r="G42" s="345">
        <f t="shared" si="7"/>
        <v>1.08</v>
      </c>
      <c r="H42" s="345">
        <f t="shared" si="14"/>
        <v>0</v>
      </c>
      <c r="I42" s="345">
        <f>M42+N42</f>
        <v>0</v>
      </c>
      <c r="J42" s="346">
        <f t="shared" si="15"/>
        <v>0</v>
      </c>
      <c r="K42" s="345">
        <f t="shared" si="16"/>
        <v>0</v>
      </c>
      <c r="L42" s="345">
        <f t="shared" si="17"/>
        <v>0</v>
      </c>
      <c r="M42" s="345">
        <f t="shared" si="18"/>
        <v>0</v>
      </c>
      <c r="N42" s="345">
        <f t="shared" si="19"/>
        <v>0</v>
      </c>
      <c r="O42" s="345">
        <f t="shared" si="20"/>
        <v>0</v>
      </c>
      <c r="P42" s="345">
        <v>0</v>
      </c>
      <c r="Q42" s="433">
        <f t="shared" si="21"/>
        <v>0</v>
      </c>
      <c r="R42" s="347"/>
      <c r="S42" s="348">
        <f>'PLANILHA GERAL'!$J$50</f>
        <v>203.44</v>
      </c>
      <c r="T42" s="348">
        <f>'PLANILHA GERAL'!$J$51</f>
        <v>13.75</v>
      </c>
      <c r="U42" s="348">
        <f>'PLANILHA GERAL'!$J$52</f>
        <v>8.0399999999999991</v>
      </c>
      <c r="V42" s="348">
        <f>'PLANILHA GERAL'!$J$53</f>
        <v>3.45</v>
      </c>
      <c r="W42" s="348">
        <f>'PLANILHA GERAL'!$J$54</f>
        <v>7.35</v>
      </c>
      <c r="X42" s="348">
        <f>'PLANILHA GERAL'!$J$55</f>
        <v>60.59</v>
      </c>
      <c r="Y42" s="348">
        <f>'PLANILHA GERAL'!$J$56</f>
        <v>219.78</v>
      </c>
      <c r="Z42" s="348">
        <f>'PLANILHA GERAL'!$J$57</f>
        <v>22.08</v>
      </c>
      <c r="AA42" s="348">
        <f>'PLANILHA GERAL'!$J$58</f>
        <v>51.71</v>
      </c>
      <c r="AB42" s="348">
        <f>'PLANILHA GERAL'!$J$59</f>
        <v>44.1</v>
      </c>
      <c r="AC42" s="348">
        <f t="shared" si="4"/>
        <v>0</v>
      </c>
    </row>
    <row r="43" spans="1:29" s="331" customFormat="1" ht="45" hidden="1" customHeight="1">
      <c r="A43" s="342">
        <f>DADOS!A38</f>
        <v>0</v>
      </c>
      <c r="B43" s="343">
        <f>DADOS!B38</f>
        <v>0</v>
      </c>
      <c r="C43" s="349"/>
      <c r="D43" s="349"/>
      <c r="E43" s="349">
        <f t="shared" si="13"/>
        <v>0</v>
      </c>
      <c r="F43" s="345">
        <f t="shared" si="6"/>
        <v>0.98</v>
      </c>
      <c r="G43" s="345">
        <f t="shared" si="7"/>
        <v>1.08</v>
      </c>
      <c r="H43" s="345">
        <f t="shared" si="14"/>
        <v>0</v>
      </c>
      <c r="I43" s="345">
        <f t="shared" si="12"/>
        <v>0</v>
      </c>
      <c r="J43" s="346">
        <f t="shared" si="15"/>
        <v>0</v>
      </c>
      <c r="K43" s="345">
        <f t="shared" si="16"/>
        <v>0</v>
      </c>
      <c r="L43" s="345">
        <f t="shared" si="17"/>
        <v>0</v>
      </c>
      <c r="M43" s="345">
        <f t="shared" si="18"/>
        <v>0</v>
      </c>
      <c r="N43" s="345">
        <f t="shared" si="19"/>
        <v>0</v>
      </c>
      <c r="O43" s="345">
        <f t="shared" si="20"/>
        <v>0</v>
      </c>
      <c r="P43" s="345">
        <v>0</v>
      </c>
      <c r="Q43" s="433">
        <f t="shared" si="21"/>
        <v>0</v>
      </c>
      <c r="R43" s="347"/>
      <c r="S43" s="348">
        <f>'PLANILHA GERAL'!$J$50</f>
        <v>203.44</v>
      </c>
      <c r="T43" s="348">
        <f>'PLANILHA GERAL'!$J$51</f>
        <v>13.75</v>
      </c>
      <c r="U43" s="348">
        <f>'PLANILHA GERAL'!$J$52</f>
        <v>8.0399999999999991</v>
      </c>
      <c r="V43" s="348">
        <f>'PLANILHA GERAL'!$J$53</f>
        <v>3.45</v>
      </c>
      <c r="W43" s="348">
        <f>'PLANILHA GERAL'!$J$54</f>
        <v>7.35</v>
      </c>
      <c r="X43" s="348">
        <f>'PLANILHA GERAL'!$J$55</f>
        <v>60.59</v>
      </c>
      <c r="Y43" s="348">
        <f>'PLANILHA GERAL'!$J$56</f>
        <v>219.78</v>
      </c>
      <c r="Z43" s="348">
        <f>'PLANILHA GERAL'!$J$57</f>
        <v>22.08</v>
      </c>
      <c r="AA43" s="348">
        <f>'PLANILHA GERAL'!$J$58</f>
        <v>51.71</v>
      </c>
      <c r="AB43" s="348">
        <f>'PLANILHA GERAL'!$J$59</f>
        <v>44.1</v>
      </c>
      <c r="AC43" s="348">
        <f t="shared" si="4"/>
        <v>0</v>
      </c>
    </row>
    <row r="44" spans="1:29" s="331" customFormat="1" ht="45" hidden="1" customHeight="1">
      <c r="A44" s="342">
        <f>DADOS!A39</f>
        <v>0</v>
      </c>
      <c r="B44" s="343">
        <f>DADOS!B39</f>
        <v>0</v>
      </c>
      <c r="C44" s="349"/>
      <c r="D44" s="349"/>
      <c r="E44" s="349">
        <f t="shared" si="13"/>
        <v>0</v>
      </c>
      <c r="F44" s="345">
        <f t="shared" si="6"/>
        <v>0.98</v>
      </c>
      <c r="G44" s="345">
        <f t="shared" si="7"/>
        <v>1.08</v>
      </c>
      <c r="H44" s="345">
        <f t="shared" si="14"/>
        <v>0</v>
      </c>
      <c r="I44" s="345">
        <f t="shared" si="12"/>
        <v>0</v>
      </c>
      <c r="J44" s="346">
        <f t="shared" si="15"/>
        <v>0</v>
      </c>
      <c r="K44" s="345">
        <f t="shared" si="16"/>
        <v>0</v>
      </c>
      <c r="L44" s="345">
        <f t="shared" si="17"/>
        <v>0</v>
      </c>
      <c r="M44" s="345">
        <f t="shared" si="18"/>
        <v>0</v>
      </c>
      <c r="N44" s="345">
        <f t="shared" si="19"/>
        <v>0</v>
      </c>
      <c r="O44" s="345">
        <f t="shared" si="20"/>
        <v>0</v>
      </c>
      <c r="P44" s="345">
        <v>0</v>
      </c>
      <c r="Q44" s="433">
        <f t="shared" si="21"/>
        <v>0</v>
      </c>
      <c r="R44" s="347"/>
      <c r="S44" s="348">
        <f>'PLANILHA GERAL'!$J$50</f>
        <v>203.44</v>
      </c>
      <c r="T44" s="348">
        <f>'PLANILHA GERAL'!$J$51</f>
        <v>13.75</v>
      </c>
      <c r="U44" s="348">
        <f>'PLANILHA GERAL'!$J$52</f>
        <v>8.0399999999999991</v>
      </c>
      <c r="V44" s="348">
        <f>'PLANILHA GERAL'!$J$53</f>
        <v>3.45</v>
      </c>
      <c r="W44" s="348">
        <f>'PLANILHA GERAL'!$J$54</f>
        <v>7.35</v>
      </c>
      <c r="X44" s="348">
        <f>'PLANILHA GERAL'!$J$55</f>
        <v>60.59</v>
      </c>
      <c r="Y44" s="348">
        <f>'PLANILHA GERAL'!$J$56</f>
        <v>219.78</v>
      </c>
      <c r="Z44" s="348">
        <f>'PLANILHA GERAL'!$J$57</f>
        <v>22.08</v>
      </c>
      <c r="AA44" s="348">
        <f>'PLANILHA GERAL'!$J$58</f>
        <v>51.71</v>
      </c>
      <c r="AB44" s="348">
        <f>'PLANILHA GERAL'!$J$59</f>
        <v>44.1</v>
      </c>
      <c r="AC44" s="348">
        <f t="shared" si="4"/>
        <v>0</v>
      </c>
    </row>
    <row r="45" spans="1:29" s="331" customFormat="1" ht="45" hidden="1" customHeight="1">
      <c r="A45" s="342">
        <f>DADOS!A40</f>
        <v>0</v>
      </c>
      <c r="B45" s="343">
        <f>DADOS!B40</f>
        <v>0</v>
      </c>
      <c r="C45" s="349"/>
      <c r="D45" s="349"/>
      <c r="E45" s="349">
        <f t="shared" si="13"/>
        <v>0</v>
      </c>
      <c r="F45" s="345">
        <f t="shared" si="6"/>
        <v>0.98</v>
      </c>
      <c r="G45" s="345">
        <f t="shared" si="7"/>
        <v>1.08</v>
      </c>
      <c r="H45" s="345">
        <f t="shared" si="14"/>
        <v>0</v>
      </c>
      <c r="I45" s="345">
        <f t="shared" si="12"/>
        <v>0</v>
      </c>
      <c r="J45" s="346">
        <f t="shared" si="15"/>
        <v>0</v>
      </c>
      <c r="K45" s="345">
        <f t="shared" si="16"/>
        <v>0</v>
      </c>
      <c r="L45" s="345">
        <f t="shared" si="17"/>
        <v>0</v>
      </c>
      <c r="M45" s="345">
        <f t="shared" si="18"/>
        <v>0</v>
      </c>
      <c r="N45" s="345">
        <f t="shared" si="19"/>
        <v>0</v>
      </c>
      <c r="O45" s="345">
        <f t="shared" si="20"/>
        <v>0</v>
      </c>
      <c r="P45" s="345">
        <v>0</v>
      </c>
      <c r="Q45" s="433">
        <f t="shared" si="21"/>
        <v>0</v>
      </c>
      <c r="R45" s="347"/>
      <c r="S45" s="348">
        <f>'PLANILHA GERAL'!$J$50</f>
        <v>203.44</v>
      </c>
      <c r="T45" s="348">
        <f>'PLANILHA GERAL'!$J$51</f>
        <v>13.75</v>
      </c>
      <c r="U45" s="348">
        <f>'PLANILHA GERAL'!$J$52</f>
        <v>8.0399999999999991</v>
      </c>
      <c r="V45" s="348">
        <f>'PLANILHA GERAL'!$J$53</f>
        <v>3.45</v>
      </c>
      <c r="W45" s="348">
        <f>'PLANILHA GERAL'!$J$54</f>
        <v>7.35</v>
      </c>
      <c r="X45" s="348">
        <f>'PLANILHA GERAL'!$J$55</f>
        <v>60.59</v>
      </c>
      <c r="Y45" s="348">
        <f>'PLANILHA GERAL'!$J$56</f>
        <v>219.78</v>
      </c>
      <c r="Z45" s="348">
        <f>'PLANILHA GERAL'!$J$57</f>
        <v>22.08</v>
      </c>
      <c r="AA45" s="348">
        <f>'PLANILHA GERAL'!$J$58</f>
        <v>51.71</v>
      </c>
      <c r="AB45" s="348">
        <f>'PLANILHA GERAL'!$J$59</f>
        <v>44.1</v>
      </c>
      <c r="AC45" s="348">
        <f t="shared" si="4"/>
        <v>0</v>
      </c>
    </row>
    <row r="46" spans="1:29" s="331" customFormat="1" ht="45" hidden="1" customHeight="1">
      <c r="A46" s="342">
        <f>DADOS!A41</f>
        <v>0</v>
      </c>
      <c r="B46" s="343">
        <f>DADOS!B41</f>
        <v>0</v>
      </c>
      <c r="C46" s="349"/>
      <c r="D46" s="349"/>
      <c r="E46" s="349">
        <f t="shared" si="13"/>
        <v>0</v>
      </c>
      <c r="F46" s="345">
        <f t="shared" si="6"/>
        <v>0.98</v>
      </c>
      <c r="G46" s="345">
        <f t="shared" si="7"/>
        <v>1.08</v>
      </c>
      <c r="H46" s="345">
        <f t="shared" si="14"/>
        <v>0</v>
      </c>
      <c r="I46" s="345">
        <f t="shared" si="12"/>
        <v>0</v>
      </c>
      <c r="J46" s="346">
        <f t="shared" si="15"/>
        <v>0</v>
      </c>
      <c r="K46" s="345">
        <f t="shared" si="16"/>
        <v>0</v>
      </c>
      <c r="L46" s="345">
        <f t="shared" si="17"/>
        <v>0</v>
      </c>
      <c r="M46" s="345">
        <f t="shared" si="18"/>
        <v>0</v>
      </c>
      <c r="N46" s="345">
        <f t="shared" si="19"/>
        <v>0</v>
      </c>
      <c r="O46" s="345">
        <f t="shared" si="20"/>
        <v>0</v>
      </c>
      <c r="P46" s="345">
        <v>0</v>
      </c>
      <c r="Q46" s="433">
        <f t="shared" si="21"/>
        <v>0</v>
      </c>
      <c r="R46" s="347"/>
      <c r="S46" s="348">
        <f>'PLANILHA GERAL'!$J$50</f>
        <v>203.44</v>
      </c>
      <c r="T46" s="348">
        <f>'PLANILHA GERAL'!$J$51</f>
        <v>13.75</v>
      </c>
      <c r="U46" s="348">
        <f>'PLANILHA GERAL'!$J$52</f>
        <v>8.0399999999999991</v>
      </c>
      <c r="V46" s="348">
        <f>'PLANILHA GERAL'!$J$53</f>
        <v>3.45</v>
      </c>
      <c r="W46" s="348">
        <f>'PLANILHA GERAL'!$J$54</f>
        <v>7.35</v>
      </c>
      <c r="X46" s="348">
        <f>'PLANILHA GERAL'!$J$55</f>
        <v>60.59</v>
      </c>
      <c r="Y46" s="348">
        <f>'PLANILHA GERAL'!$J$56</f>
        <v>219.78</v>
      </c>
      <c r="Z46" s="348">
        <f>'PLANILHA GERAL'!$J$57</f>
        <v>22.08</v>
      </c>
      <c r="AA46" s="348">
        <f>'PLANILHA GERAL'!$J$58</f>
        <v>51.71</v>
      </c>
      <c r="AB46" s="348">
        <f>'PLANILHA GERAL'!$J$59</f>
        <v>44.1</v>
      </c>
      <c r="AC46" s="348">
        <f t="shared" si="4"/>
        <v>0</v>
      </c>
    </row>
    <row r="47" spans="1:29" s="331" customFormat="1" ht="45" hidden="1" customHeight="1">
      <c r="A47" s="342">
        <f>DADOS!A42</f>
        <v>0</v>
      </c>
      <c r="B47" s="343">
        <f>DADOS!B42</f>
        <v>0</v>
      </c>
      <c r="C47" s="349"/>
      <c r="D47" s="349"/>
      <c r="E47" s="349">
        <f t="shared" si="13"/>
        <v>0</v>
      </c>
      <c r="F47" s="345">
        <f t="shared" si="6"/>
        <v>0.98</v>
      </c>
      <c r="G47" s="345">
        <f t="shared" si="7"/>
        <v>1.08</v>
      </c>
      <c r="H47" s="345">
        <f t="shared" si="14"/>
        <v>0</v>
      </c>
      <c r="I47" s="345">
        <f t="shared" si="12"/>
        <v>0</v>
      </c>
      <c r="J47" s="346">
        <f t="shared" si="15"/>
        <v>0</v>
      </c>
      <c r="K47" s="345">
        <f t="shared" si="16"/>
        <v>0</v>
      </c>
      <c r="L47" s="345">
        <f t="shared" si="17"/>
        <v>0</v>
      </c>
      <c r="M47" s="345">
        <f t="shared" si="18"/>
        <v>0</v>
      </c>
      <c r="N47" s="345">
        <f t="shared" si="19"/>
        <v>0</v>
      </c>
      <c r="O47" s="345">
        <f t="shared" si="20"/>
        <v>0</v>
      </c>
      <c r="P47" s="345">
        <v>0</v>
      </c>
      <c r="Q47" s="433">
        <f t="shared" si="21"/>
        <v>0</v>
      </c>
      <c r="R47" s="347"/>
      <c r="S47" s="348">
        <f>'PLANILHA GERAL'!$J$50</f>
        <v>203.44</v>
      </c>
      <c r="T47" s="348">
        <f>'PLANILHA GERAL'!$J$51</f>
        <v>13.75</v>
      </c>
      <c r="U47" s="348">
        <f>'PLANILHA GERAL'!$J$52</f>
        <v>8.0399999999999991</v>
      </c>
      <c r="V47" s="348">
        <f>'PLANILHA GERAL'!$J$53</f>
        <v>3.45</v>
      </c>
      <c r="W47" s="348">
        <f>'PLANILHA GERAL'!$J$54</f>
        <v>7.35</v>
      </c>
      <c r="X47" s="348">
        <f>'PLANILHA GERAL'!$J$55</f>
        <v>60.59</v>
      </c>
      <c r="Y47" s="348">
        <f>'PLANILHA GERAL'!$J$56</f>
        <v>219.78</v>
      </c>
      <c r="Z47" s="348">
        <f>'PLANILHA GERAL'!$J$57</f>
        <v>22.08</v>
      </c>
      <c r="AA47" s="348">
        <f>'PLANILHA GERAL'!$J$58</f>
        <v>51.71</v>
      </c>
      <c r="AB47" s="348">
        <f>'PLANILHA GERAL'!$J$59</f>
        <v>44.1</v>
      </c>
      <c r="AC47" s="348">
        <f t="shared" si="4"/>
        <v>0</v>
      </c>
    </row>
    <row r="48" spans="1:29" s="331" customFormat="1" ht="45" hidden="1" customHeight="1">
      <c r="A48" s="342">
        <f>DADOS!A43</f>
        <v>0</v>
      </c>
      <c r="B48" s="343">
        <f>DADOS!B43</f>
        <v>0</v>
      </c>
      <c r="C48" s="349"/>
      <c r="D48" s="349"/>
      <c r="E48" s="349">
        <f t="shared" si="13"/>
        <v>0</v>
      </c>
      <c r="F48" s="345">
        <f t="shared" si="6"/>
        <v>0.98</v>
      </c>
      <c r="G48" s="345">
        <f t="shared" si="7"/>
        <v>1.08</v>
      </c>
      <c r="H48" s="345">
        <f t="shared" si="14"/>
        <v>0</v>
      </c>
      <c r="I48" s="345">
        <f t="shared" si="12"/>
        <v>0</v>
      </c>
      <c r="J48" s="346">
        <f t="shared" si="15"/>
        <v>0</v>
      </c>
      <c r="K48" s="345">
        <f t="shared" si="16"/>
        <v>0</v>
      </c>
      <c r="L48" s="345">
        <f t="shared" si="17"/>
        <v>0</v>
      </c>
      <c r="M48" s="345">
        <f t="shared" si="18"/>
        <v>0</v>
      </c>
      <c r="N48" s="345">
        <f t="shared" si="19"/>
        <v>0</v>
      </c>
      <c r="O48" s="345">
        <f t="shared" si="20"/>
        <v>0</v>
      </c>
      <c r="P48" s="345">
        <v>0</v>
      </c>
      <c r="Q48" s="433">
        <f t="shared" si="21"/>
        <v>0</v>
      </c>
      <c r="R48" s="347"/>
      <c r="S48" s="348">
        <f>'PLANILHA GERAL'!$J$50</f>
        <v>203.44</v>
      </c>
      <c r="T48" s="348">
        <f>'PLANILHA GERAL'!$J$51</f>
        <v>13.75</v>
      </c>
      <c r="U48" s="348">
        <f>'PLANILHA GERAL'!$J$52</f>
        <v>8.0399999999999991</v>
      </c>
      <c r="V48" s="348">
        <f>'PLANILHA GERAL'!$J$53</f>
        <v>3.45</v>
      </c>
      <c r="W48" s="348">
        <f>'PLANILHA GERAL'!$J$54</f>
        <v>7.35</v>
      </c>
      <c r="X48" s="348">
        <f>'PLANILHA GERAL'!$J$55</f>
        <v>60.59</v>
      </c>
      <c r="Y48" s="348">
        <f>'PLANILHA GERAL'!$J$56</f>
        <v>219.78</v>
      </c>
      <c r="Z48" s="348">
        <f>'PLANILHA GERAL'!$J$57</f>
        <v>22.08</v>
      </c>
      <c r="AA48" s="348">
        <f>'PLANILHA GERAL'!$J$58</f>
        <v>51.71</v>
      </c>
      <c r="AB48" s="348">
        <f>'PLANILHA GERAL'!$J$59</f>
        <v>44.1</v>
      </c>
      <c r="AC48" s="348">
        <f t="shared" si="4"/>
        <v>0</v>
      </c>
    </row>
    <row r="49" spans="1:29" s="331" customFormat="1" ht="45" hidden="1" customHeight="1">
      <c r="A49" s="342">
        <f>DADOS!A44</f>
        <v>0</v>
      </c>
      <c r="B49" s="343">
        <f>DADOS!B44</f>
        <v>0</v>
      </c>
      <c r="C49" s="349"/>
      <c r="D49" s="349"/>
      <c r="E49" s="349">
        <f t="shared" si="13"/>
        <v>0</v>
      </c>
      <c r="F49" s="345">
        <f t="shared" si="6"/>
        <v>0.98</v>
      </c>
      <c r="G49" s="345">
        <f t="shared" si="7"/>
        <v>1.08</v>
      </c>
      <c r="H49" s="345">
        <f t="shared" si="14"/>
        <v>0</v>
      </c>
      <c r="I49" s="345">
        <f t="shared" si="12"/>
        <v>0</v>
      </c>
      <c r="J49" s="346">
        <f t="shared" si="15"/>
        <v>0</v>
      </c>
      <c r="K49" s="345">
        <f t="shared" si="16"/>
        <v>0</v>
      </c>
      <c r="L49" s="345">
        <f t="shared" si="17"/>
        <v>0</v>
      </c>
      <c r="M49" s="345">
        <f t="shared" si="18"/>
        <v>0</v>
      </c>
      <c r="N49" s="345">
        <f t="shared" si="19"/>
        <v>0</v>
      </c>
      <c r="O49" s="345">
        <f t="shared" si="20"/>
        <v>0</v>
      </c>
      <c r="P49" s="345">
        <v>0</v>
      </c>
      <c r="Q49" s="433">
        <f t="shared" si="21"/>
        <v>0</v>
      </c>
      <c r="R49" s="347"/>
      <c r="S49" s="348">
        <f>'PLANILHA GERAL'!$J$50</f>
        <v>203.44</v>
      </c>
      <c r="T49" s="348">
        <f>'PLANILHA GERAL'!$J$51</f>
        <v>13.75</v>
      </c>
      <c r="U49" s="348">
        <f>'PLANILHA GERAL'!$J$52</f>
        <v>8.0399999999999991</v>
      </c>
      <c r="V49" s="348">
        <f>'PLANILHA GERAL'!$J$53</f>
        <v>3.45</v>
      </c>
      <c r="W49" s="348">
        <f>'PLANILHA GERAL'!$J$54</f>
        <v>7.35</v>
      </c>
      <c r="X49" s="348">
        <f>'PLANILHA GERAL'!$J$55</f>
        <v>60.59</v>
      </c>
      <c r="Y49" s="348">
        <f>'PLANILHA GERAL'!$J$56</f>
        <v>219.78</v>
      </c>
      <c r="Z49" s="348">
        <f>'PLANILHA GERAL'!$J$57</f>
        <v>22.08</v>
      </c>
      <c r="AA49" s="348">
        <f>'PLANILHA GERAL'!$J$58</f>
        <v>51.71</v>
      </c>
      <c r="AB49" s="348">
        <f>'PLANILHA GERAL'!$J$59</f>
        <v>44.1</v>
      </c>
      <c r="AC49" s="348">
        <f t="shared" si="4"/>
        <v>0</v>
      </c>
    </row>
    <row r="50" spans="1:29" s="331" customFormat="1" ht="45" hidden="1" customHeight="1">
      <c r="A50" s="342">
        <f>DADOS!A45</f>
        <v>0</v>
      </c>
      <c r="B50" s="343">
        <f>DADOS!B45</f>
        <v>0</v>
      </c>
      <c r="C50" s="349"/>
      <c r="D50" s="349"/>
      <c r="E50" s="349">
        <f t="shared" si="13"/>
        <v>0</v>
      </c>
      <c r="F50" s="345">
        <f t="shared" si="6"/>
        <v>0.98</v>
      </c>
      <c r="G50" s="345">
        <f t="shared" si="7"/>
        <v>1.08</v>
      </c>
      <c r="H50" s="345">
        <f t="shared" si="14"/>
        <v>0</v>
      </c>
      <c r="I50" s="345">
        <f t="shared" si="12"/>
        <v>0</v>
      </c>
      <c r="J50" s="346">
        <f t="shared" si="15"/>
        <v>0</v>
      </c>
      <c r="K50" s="345">
        <f t="shared" si="16"/>
        <v>0</v>
      </c>
      <c r="L50" s="345">
        <f t="shared" si="17"/>
        <v>0</v>
      </c>
      <c r="M50" s="345">
        <f t="shared" si="18"/>
        <v>0</v>
      </c>
      <c r="N50" s="345">
        <f t="shared" si="19"/>
        <v>0</v>
      </c>
      <c r="O50" s="345">
        <f t="shared" si="20"/>
        <v>0</v>
      </c>
      <c r="P50" s="345">
        <v>0</v>
      </c>
      <c r="Q50" s="433">
        <f t="shared" si="21"/>
        <v>0</v>
      </c>
      <c r="R50" s="347"/>
      <c r="S50" s="348">
        <f>'PLANILHA GERAL'!$J$50</f>
        <v>203.44</v>
      </c>
      <c r="T50" s="348">
        <f>'PLANILHA GERAL'!$J$51</f>
        <v>13.75</v>
      </c>
      <c r="U50" s="348">
        <f>'PLANILHA GERAL'!$J$52</f>
        <v>8.0399999999999991</v>
      </c>
      <c r="V50" s="348">
        <f>'PLANILHA GERAL'!$J$53</f>
        <v>3.45</v>
      </c>
      <c r="W50" s="348">
        <f>'PLANILHA GERAL'!$J$54</f>
        <v>7.35</v>
      </c>
      <c r="X50" s="348">
        <f>'PLANILHA GERAL'!$J$55</f>
        <v>60.59</v>
      </c>
      <c r="Y50" s="348">
        <f>'PLANILHA GERAL'!$J$56</f>
        <v>219.78</v>
      </c>
      <c r="Z50" s="348">
        <f>'PLANILHA GERAL'!$J$57</f>
        <v>22.08</v>
      </c>
      <c r="AA50" s="348">
        <f>'PLANILHA GERAL'!$J$58</f>
        <v>51.71</v>
      </c>
      <c r="AB50" s="348">
        <f>'PLANILHA GERAL'!$J$59</f>
        <v>44.1</v>
      </c>
      <c r="AC50" s="348">
        <f t="shared" si="4"/>
        <v>0</v>
      </c>
    </row>
    <row r="51" spans="1:29" s="331" customFormat="1" ht="45" hidden="1" customHeight="1">
      <c r="A51" s="342">
        <f>DADOS!A46</f>
        <v>0</v>
      </c>
      <c r="B51" s="343">
        <f>DADOS!B46</f>
        <v>0</v>
      </c>
      <c r="C51" s="349"/>
      <c r="D51" s="349"/>
      <c r="E51" s="349">
        <f t="shared" si="13"/>
        <v>0</v>
      </c>
      <c r="F51" s="345">
        <f t="shared" si="6"/>
        <v>0.98</v>
      </c>
      <c r="G51" s="345">
        <f t="shared" si="7"/>
        <v>1.08</v>
      </c>
      <c r="H51" s="345">
        <f t="shared" si="14"/>
        <v>0</v>
      </c>
      <c r="I51" s="345">
        <f t="shared" si="12"/>
        <v>0</v>
      </c>
      <c r="J51" s="346">
        <f t="shared" si="15"/>
        <v>0</v>
      </c>
      <c r="K51" s="345">
        <f t="shared" si="16"/>
        <v>0</v>
      </c>
      <c r="L51" s="345">
        <f t="shared" si="17"/>
        <v>0</v>
      </c>
      <c r="M51" s="345">
        <f t="shared" si="18"/>
        <v>0</v>
      </c>
      <c r="N51" s="345">
        <f t="shared" si="19"/>
        <v>0</v>
      </c>
      <c r="O51" s="345">
        <f t="shared" si="20"/>
        <v>0</v>
      </c>
      <c r="P51" s="345">
        <v>0</v>
      </c>
      <c r="Q51" s="433">
        <f t="shared" si="21"/>
        <v>0</v>
      </c>
      <c r="R51" s="347"/>
      <c r="S51" s="348">
        <f>'PLANILHA GERAL'!$J$50</f>
        <v>203.44</v>
      </c>
      <c r="T51" s="348">
        <f>'PLANILHA GERAL'!$J$51</f>
        <v>13.75</v>
      </c>
      <c r="U51" s="348">
        <f>'PLANILHA GERAL'!$J$52</f>
        <v>8.0399999999999991</v>
      </c>
      <c r="V51" s="348">
        <f>'PLANILHA GERAL'!$J$53</f>
        <v>3.45</v>
      </c>
      <c r="W51" s="348">
        <f>'PLANILHA GERAL'!$J$54</f>
        <v>7.35</v>
      </c>
      <c r="X51" s="348">
        <f>'PLANILHA GERAL'!$J$55</f>
        <v>60.59</v>
      </c>
      <c r="Y51" s="348">
        <f>'PLANILHA GERAL'!$J$56</f>
        <v>219.78</v>
      </c>
      <c r="Z51" s="348">
        <f>'PLANILHA GERAL'!$J$57</f>
        <v>22.08</v>
      </c>
      <c r="AA51" s="348">
        <f>'PLANILHA GERAL'!$J$58</f>
        <v>51.71</v>
      </c>
      <c r="AB51" s="348">
        <f>'PLANILHA GERAL'!$J$59</f>
        <v>44.1</v>
      </c>
      <c r="AC51" s="348">
        <f t="shared" si="4"/>
        <v>0</v>
      </c>
    </row>
    <row r="52" spans="1:29" s="331" customFormat="1" ht="45" hidden="1" customHeight="1">
      <c r="A52" s="342">
        <f>DADOS!A47</f>
        <v>0</v>
      </c>
      <c r="B52" s="343">
        <f>DADOS!B47</f>
        <v>0</v>
      </c>
      <c r="C52" s="349"/>
      <c r="D52" s="349"/>
      <c r="E52" s="349">
        <f t="shared" si="13"/>
        <v>0</v>
      </c>
      <c r="F52" s="345">
        <f t="shared" si="6"/>
        <v>0.98</v>
      </c>
      <c r="G52" s="345">
        <f t="shared" si="7"/>
        <v>1.08</v>
      </c>
      <c r="H52" s="345">
        <f t="shared" si="14"/>
        <v>0</v>
      </c>
      <c r="I52" s="345">
        <f t="shared" si="12"/>
        <v>0</v>
      </c>
      <c r="J52" s="346">
        <f t="shared" si="15"/>
        <v>0</v>
      </c>
      <c r="K52" s="345">
        <f t="shared" si="16"/>
        <v>0</v>
      </c>
      <c r="L52" s="345">
        <f t="shared" si="17"/>
        <v>0</v>
      </c>
      <c r="M52" s="345">
        <f t="shared" si="18"/>
        <v>0</v>
      </c>
      <c r="N52" s="345">
        <f t="shared" si="19"/>
        <v>0</v>
      </c>
      <c r="O52" s="345">
        <f t="shared" si="20"/>
        <v>0</v>
      </c>
      <c r="P52" s="345">
        <v>0</v>
      </c>
      <c r="Q52" s="433">
        <f t="shared" si="21"/>
        <v>0</v>
      </c>
      <c r="R52" s="347"/>
      <c r="S52" s="348">
        <f>'PLANILHA GERAL'!$J$50</f>
        <v>203.44</v>
      </c>
      <c r="T52" s="348">
        <f>'PLANILHA GERAL'!$J$51</f>
        <v>13.75</v>
      </c>
      <c r="U52" s="348">
        <f>'PLANILHA GERAL'!$J$52</f>
        <v>8.0399999999999991</v>
      </c>
      <c r="V52" s="348">
        <f>'PLANILHA GERAL'!$J$53</f>
        <v>3.45</v>
      </c>
      <c r="W52" s="348">
        <f>'PLANILHA GERAL'!$J$54</f>
        <v>7.35</v>
      </c>
      <c r="X52" s="348">
        <f>'PLANILHA GERAL'!$J$55</f>
        <v>60.59</v>
      </c>
      <c r="Y52" s="348">
        <f>'PLANILHA GERAL'!$J$56</f>
        <v>219.78</v>
      </c>
      <c r="Z52" s="348">
        <f>'PLANILHA GERAL'!$J$57</f>
        <v>22.08</v>
      </c>
      <c r="AA52" s="348">
        <f>'PLANILHA GERAL'!$J$58</f>
        <v>51.71</v>
      </c>
      <c r="AB52" s="348">
        <f>'PLANILHA GERAL'!$J$59</f>
        <v>44.1</v>
      </c>
      <c r="AC52" s="348">
        <f t="shared" si="4"/>
        <v>0</v>
      </c>
    </row>
    <row r="53" spans="1:29" s="331" customFormat="1" ht="45" hidden="1" customHeight="1">
      <c r="A53" s="342">
        <f>DADOS!A48</f>
        <v>0</v>
      </c>
      <c r="B53" s="343">
        <f>DADOS!B48</f>
        <v>0</v>
      </c>
      <c r="C53" s="349"/>
      <c r="D53" s="349"/>
      <c r="E53" s="349">
        <f t="shared" si="13"/>
        <v>0</v>
      </c>
      <c r="F53" s="345">
        <f t="shared" si="6"/>
        <v>0.98</v>
      </c>
      <c r="G53" s="345">
        <f t="shared" si="7"/>
        <v>1.08</v>
      </c>
      <c r="H53" s="345">
        <f t="shared" si="14"/>
        <v>0</v>
      </c>
      <c r="I53" s="345">
        <f t="shared" si="12"/>
        <v>0</v>
      </c>
      <c r="J53" s="346">
        <f t="shared" si="15"/>
        <v>0</v>
      </c>
      <c r="K53" s="345">
        <f t="shared" si="16"/>
        <v>0</v>
      </c>
      <c r="L53" s="345">
        <f t="shared" si="17"/>
        <v>0</v>
      </c>
      <c r="M53" s="345">
        <f t="shared" si="18"/>
        <v>0</v>
      </c>
      <c r="N53" s="345">
        <f t="shared" si="19"/>
        <v>0</v>
      </c>
      <c r="O53" s="345">
        <f t="shared" si="20"/>
        <v>0</v>
      </c>
      <c r="P53" s="345">
        <v>0</v>
      </c>
      <c r="Q53" s="433">
        <f t="shared" si="21"/>
        <v>0</v>
      </c>
      <c r="R53" s="347"/>
      <c r="S53" s="348">
        <f>'PLANILHA GERAL'!$J$50</f>
        <v>203.44</v>
      </c>
      <c r="T53" s="348">
        <f>'PLANILHA GERAL'!$J$51</f>
        <v>13.75</v>
      </c>
      <c r="U53" s="348">
        <f>'PLANILHA GERAL'!$J$52</f>
        <v>8.0399999999999991</v>
      </c>
      <c r="V53" s="348">
        <f>'PLANILHA GERAL'!$J$53</f>
        <v>3.45</v>
      </c>
      <c r="W53" s="348">
        <f>'PLANILHA GERAL'!$J$54</f>
        <v>7.35</v>
      </c>
      <c r="X53" s="348">
        <f>'PLANILHA GERAL'!$J$55</f>
        <v>60.59</v>
      </c>
      <c r="Y53" s="348">
        <f>'PLANILHA GERAL'!$J$56</f>
        <v>219.78</v>
      </c>
      <c r="Z53" s="348">
        <f>'PLANILHA GERAL'!$J$57</f>
        <v>22.08</v>
      </c>
      <c r="AA53" s="348">
        <f>'PLANILHA GERAL'!$J$58</f>
        <v>51.71</v>
      </c>
      <c r="AB53" s="348">
        <f>'PLANILHA GERAL'!$J$59</f>
        <v>44.1</v>
      </c>
      <c r="AC53" s="348">
        <f t="shared" ref="AC53:AC54" si="22">(E53*S53)+(H53*T53)+(I53*U53)+(J53*V53)+(K53*W53)+(L53*X53)+(N53*Y53)+(O53*Z53)+(P53*AA53)+(Q53*AB53)</f>
        <v>0</v>
      </c>
    </row>
    <row r="54" spans="1:29" s="331" customFormat="1" ht="45" hidden="1" customHeight="1" thickBot="1">
      <c r="A54" s="342">
        <f>DADOS!A49</f>
        <v>0</v>
      </c>
      <c r="B54" s="343">
        <f>DADOS!B49</f>
        <v>0</v>
      </c>
      <c r="C54" s="349"/>
      <c r="D54" s="349"/>
      <c r="E54" s="349">
        <f t="shared" si="13"/>
        <v>0</v>
      </c>
      <c r="F54" s="345">
        <f t="shared" si="6"/>
        <v>0.98</v>
      </c>
      <c r="G54" s="345">
        <f t="shared" si="7"/>
        <v>1.08</v>
      </c>
      <c r="H54" s="345">
        <f t="shared" si="14"/>
        <v>0</v>
      </c>
      <c r="I54" s="345">
        <f t="shared" si="12"/>
        <v>0</v>
      </c>
      <c r="J54" s="346">
        <f t="shared" si="15"/>
        <v>0</v>
      </c>
      <c r="K54" s="345">
        <f t="shared" si="16"/>
        <v>0</v>
      </c>
      <c r="L54" s="345">
        <f t="shared" si="17"/>
        <v>0</v>
      </c>
      <c r="M54" s="345">
        <f t="shared" si="18"/>
        <v>0</v>
      </c>
      <c r="N54" s="345">
        <f t="shared" si="19"/>
        <v>0</v>
      </c>
      <c r="O54" s="345">
        <f t="shared" si="20"/>
        <v>0</v>
      </c>
      <c r="P54" s="345">
        <v>0</v>
      </c>
      <c r="Q54" s="433">
        <f t="shared" si="21"/>
        <v>0</v>
      </c>
      <c r="R54" s="347"/>
      <c r="S54" s="348">
        <f>'PLANILHA GERAL'!$J$50</f>
        <v>203.44</v>
      </c>
      <c r="T54" s="348">
        <f>'PLANILHA GERAL'!$J$51</f>
        <v>13.75</v>
      </c>
      <c r="U54" s="348">
        <f>'PLANILHA GERAL'!$J$52</f>
        <v>8.0399999999999991</v>
      </c>
      <c r="V54" s="348">
        <f>'PLANILHA GERAL'!$J$53</f>
        <v>3.45</v>
      </c>
      <c r="W54" s="348">
        <f>'PLANILHA GERAL'!$J$54</f>
        <v>7.35</v>
      </c>
      <c r="X54" s="348">
        <f>'PLANILHA GERAL'!$J$55</f>
        <v>60.59</v>
      </c>
      <c r="Y54" s="348">
        <f>'PLANILHA GERAL'!$J$56</f>
        <v>219.78</v>
      </c>
      <c r="Z54" s="348">
        <f>'PLANILHA GERAL'!$J$57</f>
        <v>22.08</v>
      </c>
      <c r="AA54" s="348">
        <f>'PLANILHA GERAL'!$J$58</f>
        <v>51.71</v>
      </c>
      <c r="AB54" s="348">
        <f>'PLANILHA GERAL'!$J$59</f>
        <v>44.1</v>
      </c>
      <c r="AC54" s="348">
        <f t="shared" si="22"/>
        <v>0</v>
      </c>
    </row>
    <row r="55" spans="1:29" s="331" customFormat="1" ht="63.75" customHeight="1" thickBot="1">
      <c r="A55" s="1610" t="s">
        <v>22</v>
      </c>
      <c r="B55" s="1611"/>
      <c r="C55" s="350"/>
      <c r="D55" s="350"/>
      <c r="E55" s="350">
        <f>SUM(E17:E36)</f>
        <v>630</v>
      </c>
      <c r="F55" s="350"/>
      <c r="G55" s="350"/>
      <c r="H55" s="350">
        <f t="shared" ref="H55:Q55" si="23">SUM(H17:H36)</f>
        <v>666.79</v>
      </c>
      <c r="I55" s="350">
        <f t="shared" si="23"/>
        <v>490.49</v>
      </c>
      <c r="J55" s="350">
        <f t="shared" si="23"/>
        <v>6131.13</v>
      </c>
      <c r="K55" s="350">
        <f t="shared" si="23"/>
        <v>617.4</v>
      </c>
      <c r="L55" s="350">
        <f t="shared" si="23"/>
        <v>617.4</v>
      </c>
      <c r="M55" s="350">
        <f t="shared" si="23"/>
        <v>79.13</v>
      </c>
      <c r="N55" s="350">
        <f t="shared" si="23"/>
        <v>411.36</v>
      </c>
      <c r="O55" s="350">
        <f t="shared" si="23"/>
        <v>176.3</v>
      </c>
      <c r="P55" s="350">
        <f t="shared" si="23"/>
        <v>0</v>
      </c>
      <c r="Q55" s="350">
        <f t="shared" si="23"/>
        <v>630</v>
      </c>
      <c r="R55" s="351"/>
    </row>
    <row r="56" spans="1:29" s="331" customFormat="1" ht="45" customHeight="1" thickBot="1">
      <c r="A56" s="434"/>
      <c r="B56" s="352"/>
      <c r="C56" s="352"/>
      <c r="D56" s="352"/>
      <c r="E56" s="352"/>
      <c r="F56" s="353"/>
      <c r="G56" s="352"/>
      <c r="H56" s="352"/>
      <c r="I56" s="352"/>
      <c r="K56" s="352"/>
      <c r="L56" s="352"/>
      <c r="M56" s="352"/>
      <c r="N56" s="352"/>
      <c r="O56" s="352"/>
      <c r="P56" s="352"/>
      <c r="Q56" s="435"/>
    </row>
    <row r="57" spans="1:29" s="331" customFormat="1" ht="45" customHeight="1" thickBot="1">
      <c r="A57" s="1605" t="s">
        <v>319</v>
      </c>
      <c r="B57" s="1606"/>
      <c r="C57" s="1606"/>
      <c r="D57" s="1606"/>
      <c r="E57" s="1606"/>
      <c r="F57" s="1606"/>
      <c r="G57" s="1606"/>
      <c r="H57" s="1606"/>
      <c r="I57" s="1606"/>
      <c r="J57" s="1606"/>
      <c r="K57" s="1606"/>
      <c r="L57" s="1606"/>
      <c r="M57" s="1606"/>
      <c r="N57" s="1606"/>
      <c r="O57" s="1606"/>
      <c r="P57" s="1606"/>
      <c r="Q57" s="1607"/>
      <c r="R57" s="330"/>
    </row>
    <row r="58" spans="1:29" s="331" customFormat="1" ht="45" customHeight="1">
      <c r="A58" s="1612" t="s">
        <v>6</v>
      </c>
      <c r="B58" s="1615" t="s">
        <v>322</v>
      </c>
      <c r="C58" s="1620" t="s">
        <v>327</v>
      </c>
      <c r="D58" s="1620"/>
      <c r="E58" s="1620"/>
      <c r="F58" s="1608" t="s">
        <v>465</v>
      </c>
      <c r="G58" s="1608"/>
      <c r="H58" s="1608"/>
      <c r="I58" s="1608" t="s">
        <v>466</v>
      </c>
      <c r="J58" s="1623" t="s">
        <v>469</v>
      </c>
      <c r="K58" s="1608" t="s">
        <v>314</v>
      </c>
      <c r="L58" s="1608" t="s">
        <v>316</v>
      </c>
      <c r="M58" s="1600" t="s">
        <v>315</v>
      </c>
      <c r="N58" s="1603" t="s">
        <v>467</v>
      </c>
      <c r="O58" s="1603" t="s">
        <v>532</v>
      </c>
      <c r="P58" s="1603" t="s">
        <v>468</v>
      </c>
      <c r="Q58" s="1618" t="s">
        <v>317</v>
      </c>
      <c r="R58" s="330"/>
    </row>
    <row r="59" spans="1:29" s="331" customFormat="1" ht="45" customHeight="1">
      <c r="A59" s="1613"/>
      <c r="B59" s="1616"/>
      <c r="C59" s="1621"/>
      <c r="D59" s="1621"/>
      <c r="E59" s="1621"/>
      <c r="F59" s="1609"/>
      <c r="G59" s="1609"/>
      <c r="H59" s="1609"/>
      <c r="I59" s="1609"/>
      <c r="J59" s="1624"/>
      <c r="K59" s="1609"/>
      <c r="L59" s="1609"/>
      <c r="M59" s="1601"/>
      <c r="N59" s="1604"/>
      <c r="O59" s="1604"/>
      <c r="P59" s="1622"/>
      <c r="Q59" s="1619"/>
      <c r="R59" s="330"/>
    </row>
    <row r="60" spans="1:29" s="331" customFormat="1" ht="45" customHeight="1">
      <c r="A60" s="1613"/>
      <c r="B60" s="1616"/>
      <c r="C60" s="334" t="s">
        <v>148</v>
      </c>
      <c r="D60" s="335" t="s">
        <v>329</v>
      </c>
      <c r="E60" s="334" t="s">
        <v>313</v>
      </c>
      <c r="F60" s="334" t="s">
        <v>307</v>
      </c>
      <c r="G60" s="334" t="s">
        <v>312</v>
      </c>
      <c r="H60" s="334" t="s">
        <v>22</v>
      </c>
      <c r="I60" s="1609"/>
      <c r="J60" s="1624"/>
      <c r="K60" s="1609"/>
      <c r="L60" s="1609"/>
      <c r="M60" s="1602"/>
      <c r="N60" s="334" t="s">
        <v>22</v>
      </c>
      <c r="O60" s="334" t="s">
        <v>22</v>
      </c>
      <c r="P60" s="1604"/>
      <c r="Q60" s="1619"/>
      <c r="R60" s="330"/>
    </row>
    <row r="61" spans="1:29" s="331" customFormat="1" ht="60" customHeight="1">
      <c r="A61" s="1613"/>
      <c r="B61" s="1616"/>
      <c r="C61" s="517"/>
      <c r="D61" s="517"/>
      <c r="E61" s="517" t="s">
        <v>50</v>
      </c>
      <c r="F61" s="517" t="s">
        <v>53</v>
      </c>
      <c r="G61" s="517" t="s">
        <v>14</v>
      </c>
      <c r="H61" s="517" t="s">
        <v>667</v>
      </c>
      <c r="I61" s="517" t="s">
        <v>672</v>
      </c>
      <c r="J61" s="516" t="s">
        <v>668</v>
      </c>
      <c r="K61" s="517" t="s">
        <v>669</v>
      </c>
      <c r="L61" s="517" t="s">
        <v>670</v>
      </c>
      <c r="M61" s="517" t="s">
        <v>671</v>
      </c>
      <c r="N61" s="517" t="s">
        <v>673</v>
      </c>
      <c r="O61" s="517" t="s">
        <v>674</v>
      </c>
      <c r="P61" s="517" t="s">
        <v>675</v>
      </c>
      <c r="Q61" s="515" t="s">
        <v>676</v>
      </c>
      <c r="R61" s="330"/>
      <c r="S61" s="1597" t="s">
        <v>479</v>
      </c>
      <c r="T61" s="1598"/>
      <c r="U61" s="1598"/>
      <c r="V61" s="1598"/>
      <c r="W61" s="1598"/>
      <c r="X61" s="1598"/>
      <c r="Y61" s="1598"/>
      <c r="Z61" s="1598"/>
      <c r="AA61" s="1598"/>
      <c r="AB61" s="1598"/>
      <c r="AC61" s="1599"/>
    </row>
    <row r="62" spans="1:29" s="331" customFormat="1" ht="60" customHeight="1" thickBot="1">
      <c r="A62" s="1614"/>
      <c r="B62" s="1617"/>
      <c r="C62" s="337" t="s">
        <v>311</v>
      </c>
      <c r="D62" s="337" t="s">
        <v>308</v>
      </c>
      <c r="E62" s="337" t="s">
        <v>308</v>
      </c>
      <c r="F62" s="337" t="s">
        <v>513</v>
      </c>
      <c r="G62" s="339" t="s">
        <v>677</v>
      </c>
      <c r="H62" s="337"/>
      <c r="I62" s="337"/>
      <c r="J62" s="338">
        <v>10</v>
      </c>
      <c r="K62" s="337"/>
      <c r="L62" s="337"/>
      <c r="M62" s="337"/>
      <c r="N62" s="337"/>
      <c r="O62" s="339"/>
      <c r="P62" s="339" t="s">
        <v>530</v>
      </c>
      <c r="Q62" s="432"/>
      <c r="R62" s="340"/>
      <c r="S62" s="335" t="s">
        <v>474</v>
      </c>
      <c r="T62" s="335" t="s">
        <v>475</v>
      </c>
      <c r="U62" s="335" t="s">
        <v>476</v>
      </c>
      <c r="V62" s="335" t="s">
        <v>477</v>
      </c>
      <c r="W62" s="335" t="s">
        <v>478</v>
      </c>
      <c r="X62" s="335" t="s">
        <v>323</v>
      </c>
      <c r="Y62" s="334" t="s">
        <v>467</v>
      </c>
      <c r="Z62" s="334" t="s">
        <v>532</v>
      </c>
      <c r="AA62" s="334" t="s">
        <v>468</v>
      </c>
      <c r="AB62" s="334" t="s">
        <v>317</v>
      </c>
      <c r="AC62" s="341" t="s">
        <v>22</v>
      </c>
    </row>
    <row r="63" spans="1:29" s="331" customFormat="1" ht="45" hidden="1" customHeight="1">
      <c r="A63" s="342">
        <f>DADOS!A12</f>
        <v>1</v>
      </c>
      <c r="B63" s="343"/>
      <c r="C63" s="344">
        <v>1</v>
      </c>
      <c r="D63" s="344"/>
      <c r="E63" s="344">
        <f>C63*D63</f>
        <v>0</v>
      </c>
      <c r="F63" s="345">
        <f>0.72+0.5</f>
        <v>1.22</v>
      </c>
      <c r="G63" s="345">
        <f>((0.72+0.6)+((0.72+0.6)+(E63*0.5%)))/2</f>
        <v>1.32</v>
      </c>
      <c r="H63" s="345">
        <f t="shared" ref="H63:H97" si="24">E63*F63*G63</f>
        <v>0</v>
      </c>
      <c r="I63" s="345">
        <f>M63</f>
        <v>0</v>
      </c>
      <c r="J63" s="346">
        <f>I63*1.25*$J$16</f>
        <v>0</v>
      </c>
      <c r="K63" s="345">
        <f t="shared" ref="K63:K97" si="25">E63*F63</f>
        <v>0</v>
      </c>
      <c r="L63" s="345">
        <f>K63</f>
        <v>0</v>
      </c>
      <c r="M63" s="345">
        <f t="shared" ref="M63:M97" si="26">(3.14*0.3^2)*E63</f>
        <v>0</v>
      </c>
      <c r="N63" s="345">
        <f>(H63-M63)*70%</f>
        <v>0</v>
      </c>
      <c r="O63" s="345">
        <f>(H63-M63)*30%</f>
        <v>0</v>
      </c>
      <c r="P63" s="345">
        <f t="shared" ref="P63:P97" si="27">IF(G63&gt;1.5,D63*G63*2,)</f>
        <v>0</v>
      </c>
      <c r="Q63" s="433">
        <f t="shared" ref="Q63:Q97" si="28">E63</f>
        <v>0</v>
      </c>
      <c r="R63" s="347"/>
      <c r="S63" s="354">
        <f>'PLANILHA GERAL'!$J$60</f>
        <v>305.42</v>
      </c>
      <c r="T63" s="354">
        <f>'PLANILHA GERAL'!$J$61</f>
        <v>13.75</v>
      </c>
      <c r="U63" s="354">
        <f>'PLANILHA GERAL'!$J$62</f>
        <v>8.0399999999999991</v>
      </c>
      <c r="V63" s="354">
        <f>'PLANILHA GERAL'!$J$63</f>
        <v>3.45</v>
      </c>
      <c r="W63" s="354">
        <f>'PLANILHA GERAL'!$J$64</f>
        <v>7.35</v>
      </c>
      <c r="X63" s="354">
        <f>'PLANILHA GERAL'!$J$65</f>
        <v>60.59</v>
      </c>
      <c r="Y63" s="354">
        <f>'PLANILHA GERAL'!$J$66</f>
        <v>219.78</v>
      </c>
      <c r="Z63" s="354">
        <f>'PLANILHA GERAL'!$J$67</f>
        <v>22.08</v>
      </c>
      <c r="AA63" s="354">
        <f>'PLANILHA GERAL'!$J$68</f>
        <v>51.71</v>
      </c>
      <c r="AB63" s="354">
        <f>'PLANILHA GERAL'!$J$69</f>
        <v>70.59</v>
      </c>
      <c r="AC63" s="348">
        <f t="shared" ref="AC63:AC97" si="29">(E63*S63)+(H63*T63)+(I63*U63)+(J63*V63)+(K63*W63)+(L63*X63)+(N63*Y63)+(O63*Z63)+(P63*AA63)+(Q63*AB63)</f>
        <v>0</v>
      </c>
    </row>
    <row r="64" spans="1:29" s="331" customFormat="1" ht="63.75" customHeight="1" thickBot="1">
      <c r="A64" s="342">
        <v>1</v>
      </c>
      <c r="B64" s="343" t="s">
        <v>1929</v>
      </c>
      <c r="C64" s="349">
        <v>1</v>
      </c>
      <c r="D64" s="345">
        <f>'MC-PAV'!C19*30%</f>
        <v>2415</v>
      </c>
      <c r="E64" s="345">
        <f>C64*D64</f>
        <v>2415</v>
      </c>
      <c r="F64" s="345">
        <f t="shared" ref="F64:F97" si="30">0.72+0.5</f>
        <v>1.22</v>
      </c>
      <c r="G64" s="345">
        <f t="shared" ref="G64:G97" si="31">((0.72+0.6)+((0.72+0.6)+(E64*0.5%)))/2</f>
        <v>7.36</v>
      </c>
      <c r="H64" s="345">
        <f t="shared" si="24"/>
        <v>21684.77</v>
      </c>
      <c r="I64" s="345">
        <f t="shared" ref="I64" si="32">M64</f>
        <v>682.48</v>
      </c>
      <c r="J64" s="346">
        <f t="shared" ref="J64:J97" si="33">I64*1.25*$J$16</f>
        <v>8531</v>
      </c>
      <c r="K64" s="345">
        <f t="shared" si="25"/>
        <v>2946.3</v>
      </c>
      <c r="L64" s="345">
        <f t="shared" ref="L64:L97" si="34">K64</f>
        <v>2946.3</v>
      </c>
      <c r="M64" s="345">
        <f t="shared" si="26"/>
        <v>682.48</v>
      </c>
      <c r="N64" s="345">
        <f t="shared" ref="N64:N97" si="35">(H64-M64)*70%</f>
        <v>14701.6</v>
      </c>
      <c r="O64" s="345">
        <f t="shared" ref="O64:O97" si="36">(H64-M64)*30%</f>
        <v>6300.69</v>
      </c>
      <c r="P64" s="345">
        <f t="shared" si="27"/>
        <v>35548.800000000003</v>
      </c>
      <c r="Q64" s="433">
        <f t="shared" si="28"/>
        <v>2415</v>
      </c>
      <c r="R64" s="347"/>
      <c r="S64" s="354">
        <f>'PLANILHA GERAL'!$J$60</f>
        <v>305.42</v>
      </c>
      <c r="T64" s="354">
        <f>'PLANILHA GERAL'!$J$61</f>
        <v>13.75</v>
      </c>
      <c r="U64" s="354">
        <f>'PLANILHA GERAL'!$J$62</f>
        <v>8.0399999999999991</v>
      </c>
      <c r="V64" s="354">
        <f>'PLANILHA GERAL'!$J$63</f>
        <v>3.45</v>
      </c>
      <c r="W64" s="354">
        <f>'PLANILHA GERAL'!$J$64</f>
        <v>7.35</v>
      </c>
      <c r="X64" s="354">
        <f>'PLANILHA GERAL'!$J$65</f>
        <v>60.59</v>
      </c>
      <c r="Y64" s="354">
        <f>'PLANILHA GERAL'!$J$66</f>
        <v>219.78</v>
      </c>
      <c r="Z64" s="354">
        <f>'PLANILHA GERAL'!$J$67</f>
        <v>22.08</v>
      </c>
      <c r="AA64" s="354">
        <f>'PLANILHA GERAL'!$J$68</f>
        <v>51.71</v>
      </c>
      <c r="AB64" s="354">
        <f>'PLANILHA GERAL'!$J$69</f>
        <v>70.59</v>
      </c>
      <c r="AC64" s="348">
        <f t="shared" si="29"/>
        <v>6649785.7800000003</v>
      </c>
    </row>
    <row r="65" spans="1:29" s="331" customFormat="1" ht="30.75" hidden="1">
      <c r="A65" s="342">
        <v>1</v>
      </c>
      <c r="B65" s="343"/>
      <c r="C65" s="349"/>
      <c r="D65" s="345">
        <v>1300</v>
      </c>
      <c r="E65" s="345">
        <f t="shared" ref="E65:E97" si="37">C65*D65</f>
        <v>0</v>
      </c>
      <c r="F65" s="345">
        <f t="shared" si="30"/>
        <v>1.22</v>
      </c>
      <c r="G65" s="345">
        <f t="shared" si="31"/>
        <v>1.32</v>
      </c>
      <c r="H65" s="345">
        <f t="shared" si="24"/>
        <v>0</v>
      </c>
      <c r="I65" s="345">
        <f>M65+N65</f>
        <v>0</v>
      </c>
      <c r="J65" s="346">
        <f t="shared" si="33"/>
        <v>0</v>
      </c>
      <c r="K65" s="345">
        <f t="shared" si="25"/>
        <v>0</v>
      </c>
      <c r="L65" s="345">
        <f t="shared" si="34"/>
        <v>0</v>
      </c>
      <c r="M65" s="345">
        <f t="shared" si="26"/>
        <v>0</v>
      </c>
      <c r="N65" s="345">
        <f t="shared" si="35"/>
        <v>0</v>
      </c>
      <c r="O65" s="345">
        <f t="shared" si="36"/>
        <v>0</v>
      </c>
      <c r="P65" s="345">
        <f t="shared" si="27"/>
        <v>0</v>
      </c>
      <c r="Q65" s="433">
        <f t="shared" si="28"/>
        <v>0</v>
      </c>
      <c r="R65" s="347"/>
      <c r="S65" s="354">
        <f>'PLANILHA GERAL'!$J$60</f>
        <v>305.42</v>
      </c>
      <c r="T65" s="354">
        <f>'PLANILHA GERAL'!$J$61</f>
        <v>13.75</v>
      </c>
      <c r="U65" s="354">
        <f>'PLANILHA GERAL'!$J$62</f>
        <v>8.0399999999999991</v>
      </c>
      <c r="V65" s="354">
        <f>'PLANILHA GERAL'!$J$63</f>
        <v>3.45</v>
      </c>
      <c r="W65" s="354">
        <f>'PLANILHA GERAL'!$J$64</f>
        <v>7.35</v>
      </c>
      <c r="X65" s="354">
        <f>'PLANILHA GERAL'!$J$65</f>
        <v>60.59</v>
      </c>
      <c r="Y65" s="354">
        <f>'PLANILHA GERAL'!$J$66</f>
        <v>219.78</v>
      </c>
      <c r="Z65" s="354">
        <f>'PLANILHA GERAL'!$J$67</f>
        <v>22.08</v>
      </c>
      <c r="AA65" s="354">
        <f>'PLANILHA GERAL'!$J$68</f>
        <v>51.71</v>
      </c>
      <c r="AB65" s="354">
        <f>'PLANILHA GERAL'!$J$69</f>
        <v>70.59</v>
      </c>
      <c r="AC65" s="348">
        <f t="shared" si="29"/>
        <v>0</v>
      </c>
    </row>
    <row r="66" spans="1:29" s="331" customFormat="1" ht="30.75" hidden="1">
      <c r="A66" s="342">
        <f>DADOS!A15</f>
        <v>0</v>
      </c>
      <c r="B66" s="343"/>
      <c r="C66" s="349">
        <v>1</v>
      </c>
      <c r="D66" s="345"/>
      <c r="E66" s="345">
        <f t="shared" si="37"/>
        <v>0</v>
      </c>
      <c r="F66" s="345">
        <f t="shared" si="30"/>
        <v>1.22</v>
      </c>
      <c r="G66" s="345">
        <f t="shared" si="31"/>
        <v>1.32</v>
      </c>
      <c r="H66" s="345">
        <f t="shared" si="24"/>
        <v>0</v>
      </c>
      <c r="I66" s="345">
        <f t="shared" ref="I66:I97" si="38">M66+N66</f>
        <v>0</v>
      </c>
      <c r="J66" s="346">
        <f t="shared" si="33"/>
        <v>0</v>
      </c>
      <c r="K66" s="345">
        <f t="shared" si="25"/>
        <v>0</v>
      </c>
      <c r="L66" s="345">
        <f t="shared" si="34"/>
        <v>0</v>
      </c>
      <c r="M66" s="345">
        <f t="shared" si="26"/>
        <v>0</v>
      </c>
      <c r="N66" s="345">
        <f t="shared" si="35"/>
        <v>0</v>
      </c>
      <c r="O66" s="345">
        <f t="shared" si="36"/>
        <v>0</v>
      </c>
      <c r="P66" s="345">
        <f t="shared" si="27"/>
        <v>0</v>
      </c>
      <c r="Q66" s="433">
        <f t="shared" si="28"/>
        <v>0</v>
      </c>
      <c r="R66" s="347"/>
      <c r="S66" s="354">
        <f>'PLANILHA GERAL'!$J$60</f>
        <v>305.42</v>
      </c>
      <c r="T66" s="354">
        <f>'PLANILHA GERAL'!$J$61</f>
        <v>13.75</v>
      </c>
      <c r="U66" s="354">
        <f>'PLANILHA GERAL'!$J$62</f>
        <v>8.0399999999999991</v>
      </c>
      <c r="V66" s="354">
        <f>'PLANILHA GERAL'!$J$63</f>
        <v>3.45</v>
      </c>
      <c r="W66" s="354">
        <f>'PLANILHA GERAL'!$J$64</f>
        <v>7.35</v>
      </c>
      <c r="X66" s="354">
        <f>'PLANILHA GERAL'!$J$65</f>
        <v>60.59</v>
      </c>
      <c r="Y66" s="354">
        <f>'PLANILHA GERAL'!$J$66</f>
        <v>219.78</v>
      </c>
      <c r="Z66" s="354">
        <f>'PLANILHA GERAL'!$J$67</f>
        <v>22.08</v>
      </c>
      <c r="AA66" s="354">
        <f>'PLANILHA GERAL'!$J$68</f>
        <v>51.71</v>
      </c>
      <c r="AB66" s="354">
        <f>'PLANILHA GERAL'!$J$69</f>
        <v>70.59</v>
      </c>
      <c r="AC66" s="348">
        <f t="shared" si="29"/>
        <v>0</v>
      </c>
    </row>
    <row r="67" spans="1:29" s="331" customFormat="1" ht="30.75" hidden="1">
      <c r="A67" s="342">
        <f>DADOS!A16</f>
        <v>0</v>
      </c>
      <c r="B67" s="343"/>
      <c r="C67" s="349">
        <v>1</v>
      </c>
      <c r="D67" s="345"/>
      <c r="E67" s="345">
        <f t="shared" si="37"/>
        <v>0</v>
      </c>
      <c r="F67" s="345">
        <f t="shared" si="30"/>
        <v>1.22</v>
      </c>
      <c r="G67" s="345">
        <f t="shared" si="31"/>
        <v>1.32</v>
      </c>
      <c r="H67" s="345">
        <f t="shared" si="24"/>
        <v>0</v>
      </c>
      <c r="I67" s="345">
        <f t="shared" si="38"/>
        <v>0</v>
      </c>
      <c r="J67" s="346">
        <f t="shared" si="33"/>
        <v>0</v>
      </c>
      <c r="K67" s="345">
        <f t="shared" si="25"/>
        <v>0</v>
      </c>
      <c r="L67" s="345">
        <f t="shared" si="34"/>
        <v>0</v>
      </c>
      <c r="M67" s="345">
        <f t="shared" si="26"/>
        <v>0</v>
      </c>
      <c r="N67" s="345">
        <f t="shared" si="35"/>
        <v>0</v>
      </c>
      <c r="O67" s="345">
        <f t="shared" si="36"/>
        <v>0</v>
      </c>
      <c r="P67" s="345">
        <f t="shared" si="27"/>
        <v>0</v>
      </c>
      <c r="Q67" s="433">
        <f t="shared" si="28"/>
        <v>0</v>
      </c>
      <c r="R67" s="347"/>
      <c r="S67" s="354">
        <f>'PLANILHA GERAL'!$J$60</f>
        <v>305.42</v>
      </c>
      <c r="T67" s="354">
        <f>'PLANILHA GERAL'!$J$61</f>
        <v>13.75</v>
      </c>
      <c r="U67" s="354">
        <f>'PLANILHA GERAL'!$J$62</f>
        <v>8.0399999999999991</v>
      </c>
      <c r="V67" s="354">
        <f>'PLANILHA GERAL'!$J$63</f>
        <v>3.45</v>
      </c>
      <c r="W67" s="354">
        <f>'PLANILHA GERAL'!$J$64</f>
        <v>7.35</v>
      </c>
      <c r="X67" s="354">
        <f>'PLANILHA GERAL'!$J$65</f>
        <v>60.59</v>
      </c>
      <c r="Y67" s="354">
        <f>'PLANILHA GERAL'!$J$66</f>
        <v>219.78</v>
      </c>
      <c r="Z67" s="354">
        <f>'PLANILHA GERAL'!$J$67</f>
        <v>22.08</v>
      </c>
      <c r="AA67" s="354">
        <f>'PLANILHA GERAL'!$J$68</f>
        <v>51.71</v>
      </c>
      <c r="AB67" s="354">
        <f>'PLANILHA GERAL'!$J$69</f>
        <v>70.59</v>
      </c>
      <c r="AC67" s="348">
        <f t="shared" si="29"/>
        <v>0</v>
      </c>
    </row>
    <row r="68" spans="1:29" s="331" customFormat="1" ht="45" hidden="1" customHeight="1">
      <c r="A68" s="342">
        <f>DADOS!A17</f>
        <v>0</v>
      </c>
      <c r="B68" s="343"/>
      <c r="C68" s="349">
        <v>1</v>
      </c>
      <c r="D68" s="345"/>
      <c r="E68" s="345">
        <f t="shared" si="37"/>
        <v>0</v>
      </c>
      <c r="F68" s="345">
        <f t="shared" si="30"/>
        <v>1.22</v>
      </c>
      <c r="G68" s="345">
        <f t="shared" si="31"/>
        <v>1.32</v>
      </c>
      <c r="H68" s="345">
        <f t="shared" si="24"/>
        <v>0</v>
      </c>
      <c r="I68" s="345">
        <f t="shared" si="38"/>
        <v>0</v>
      </c>
      <c r="J68" s="346">
        <f t="shared" si="33"/>
        <v>0</v>
      </c>
      <c r="K68" s="345">
        <f t="shared" si="25"/>
        <v>0</v>
      </c>
      <c r="L68" s="345">
        <f t="shared" si="34"/>
        <v>0</v>
      </c>
      <c r="M68" s="345">
        <f t="shared" si="26"/>
        <v>0</v>
      </c>
      <c r="N68" s="345">
        <f t="shared" si="35"/>
        <v>0</v>
      </c>
      <c r="O68" s="345">
        <f t="shared" si="36"/>
        <v>0</v>
      </c>
      <c r="P68" s="345">
        <f t="shared" si="27"/>
        <v>0</v>
      </c>
      <c r="Q68" s="433">
        <f t="shared" si="28"/>
        <v>0</v>
      </c>
      <c r="R68" s="347"/>
      <c r="S68" s="354">
        <f>'PLANILHA GERAL'!$J$60</f>
        <v>305.42</v>
      </c>
      <c r="T68" s="354">
        <f>'PLANILHA GERAL'!$J$61</f>
        <v>13.75</v>
      </c>
      <c r="U68" s="354">
        <f>'PLANILHA GERAL'!$J$62</f>
        <v>8.0399999999999991</v>
      </c>
      <c r="V68" s="354">
        <f>'PLANILHA GERAL'!$J$63</f>
        <v>3.45</v>
      </c>
      <c r="W68" s="354">
        <f>'PLANILHA GERAL'!$J$64</f>
        <v>7.35</v>
      </c>
      <c r="X68" s="354">
        <f>'PLANILHA GERAL'!$J$65</f>
        <v>60.59</v>
      </c>
      <c r="Y68" s="354">
        <f>'PLANILHA GERAL'!$J$66</f>
        <v>219.78</v>
      </c>
      <c r="Z68" s="354">
        <f>'PLANILHA GERAL'!$J$67</f>
        <v>22.08</v>
      </c>
      <c r="AA68" s="354">
        <f>'PLANILHA GERAL'!$J$68</f>
        <v>51.71</v>
      </c>
      <c r="AB68" s="354">
        <f>'PLANILHA GERAL'!$J$69</f>
        <v>70.59</v>
      </c>
      <c r="AC68" s="348">
        <f t="shared" si="29"/>
        <v>0</v>
      </c>
    </row>
    <row r="69" spans="1:29" s="331" customFormat="1" ht="30.75" hidden="1">
      <c r="A69" s="342">
        <f>DADOS!A18</f>
        <v>0</v>
      </c>
      <c r="B69" s="343"/>
      <c r="C69" s="349">
        <v>1</v>
      </c>
      <c r="D69" s="345"/>
      <c r="E69" s="345">
        <f t="shared" si="37"/>
        <v>0</v>
      </c>
      <c r="F69" s="345">
        <f t="shared" si="30"/>
        <v>1.22</v>
      </c>
      <c r="G69" s="345">
        <f t="shared" si="31"/>
        <v>1.32</v>
      </c>
      <c r="H69" s="345">
        <f t="shared" si="24"/>
        <v>0</v>
      </c>
      <c r="I69" s="345">
        <f t="shared" si="38"/>
        <v>0</v>
      </c>
      <c r="J69" s="346">
        <f t="shared" si="33"/>
        <v>0</v>
      </c>
      <c r="K69" s="345">
        <f t="shared" si="25"/>
        <v>0</v>
      </c>
      <c r="L69" s="345">
        <f t="shared" si="34"/>
        <v>0</v>
      </c>
      <c r="M69" s="345">
        <f t="shared" si="26"/>
        <v>0</v>
      </c>
      <c r="N69" s="345">
        <f t="shared" si="35"/>
        <v>0</v>
      </c>
      <c r="O69" s="345">
        <f t="shared" si="36"/>
        <v>0</v>
      </c>
      <c r="P69" s="345">
        <f t="shared" si="27"/>
        <v>0</v>
      </c>
      <c r="Q69" s="433">
        <f t="shared" si="28"/>
        <v>0</v>
      </c>
      <c r="R69" s="347"/>
      <c r="S69" s="354">
        <f>'PLANILHA GERAL'!$J$60</f>
        <v>305.42</v>
      </c>
      <c r="T69" s="354">
        <f>'PLANILHA GERAL'!$J$61</f>
        <v>13.75</v>
      </c>
      <c r="U69" s="354">
        <f>'PLANILHA GERAL'!$J$62</f>
        <v>8.0399999999999991</v>
      </c>
      <c r="V69" s="354">
        <f>'PLANILHA GERAL'!$J$63</f>
        <v>3.45</v>
      </c>
      <c r="W69" s="354">
        <f>'PLANILHA GERAL'!$J$64</f>
        <v>7.35</v>
      </c>
      <c r="X69" s="354">
        <f>'PLANILHA GERAL'!$J$65</f>
        <v>60.59</v>
      </c>
      <c r="Y69" s="354">
        <f>'PLANILHA GERAL'!$J$66</f>
        <v>219.78</v>
      </c>
      <c r="Z69" s="354">
        <f>'PLANILHA GERAL'!$J$67</f>
        <v>22.08</v>
      </c>
      <c r="AA69" s="354">
        <f>'PLANILHA GERAL'!$J$68</f>
        <v>51.71</v>
      </c>
      <c r="AB69" s="354">
        <f>'PLANILHA GERAL'!$J$69</f>
        <v>70.59</v>
      </c>
      <c r="AC69" s="348">
        <f t="shared" si="29"/>
        <v>0</v>
      </c>
    </row>
    <row r="70" spans="1:29" s="331" customFormat="1" ht="30.75" hidden="1">
      <c r="A70" s="342">
        <f>DADOS!A19</f>
        <v>0</v>
      </c>
      <c r="B70" s="343"/>
      <c r="C70" s="349">
        <v>1</v>
      </c>
      <c r="D70" s="345">
        <f>DADOS!E19</f>
        <v>0</v>
      </c>
      <c r="E70" s="345">
        <f t="shared" si="37"/>
        <v>0</v>
      </c>
      <c r="F70" s="345">
        <f t="shared" si="30"/>
        <v>1.22</v>
      </c>
      <c r="G70" s="345">
        <f t="shared" si="31"/>
        <v>1.32</v>
      </c>
      <c r="H70" s="345">
        <f t="shared" si="24"/>
        <v>0</v>
      </c>
      <c r="I70" s="345">
        <f t="shared" si="38"/>
        <v>0</v>
      </c>
      <c r="J70" s="346">
        <f t="shared" si="33"/>
        <v>0</v>
      </c>
      <c r="K70" s="345">
        <f t="shared" si="25"/>
        <v>0</v>
      </c>
      <c r="L70" s="345">
        <f t="shared" si="34"/>
        <v>0</v>
      </c>
      <c r="M70" s="345">
        <f t="shared" si="26"/>
        <v>0</v>
      </c>
      <c r="N70" s="345">
        <f t="shared" si="35"/>
        <v>0</v>
      </c>
      <c r="O70" s="345">
        <f t="shared" si="36"/>
        <v>0</v>
      </c>
      <c r="P70" s="345">
        <f t="shared" si="27"/>
        <v>0</v>
      </c>
      <c r="Q70" s="433">
        <f t="shared" si="28"/>
        <v>0</v>
      </c>
      <c r="R70" s="347"/>
      <c r="S70" s="354">
        <f>'PLANILHA GERAL'!$J$60</f>
        <v>305.42</v>
      </c>
      <c r="T70" s="354">
        <f>'PLANILHA GERAL'!$J$61</f>
        <v>13.75</v>
      </c>
      <c r="U70" s="354">
        <f>'PLANILHA GERAL'!$J$62</f>
        <v>8.0399999999999991</v>
      </c>
      <c r="V70" s="354">
        <f>'PLANILHA GERAL'!$J$63</f>
        <v>3.45</v>
      </c>
      <c r="W70" s="354">
        <f>'PLANILHA GERAL'!$J$64</f>
        <v>7.35</v>
      </c>
      <c r="X70" s="354">
        <f>'PLANILHA GERAL'!$J$65</f>
        <v>60.59</v>
      </c>
      <c r="Y70" s="354">
        <f>'PLANILHA GERAL'!$J$66</f>
        <v>219.78</v>
      </c>
      <c r="Z70" s="354">
        <f>'PLANILHA GERAL'!$J$67</f>
        <v>22.08</v>
      </c>
      <c r="AA70" s="354">
        <f>'PLANILHA GERAL'!$J$68</f>
        <v>51.71</v>
      </c>
      <c r="AB70" s="354">
        <f>'PLANILHA GERAL'!$J$69</f>
        <v>70.59</v>
      </c>
      <c r="AC70" s="348">
        <f t="shared" si="29"/>
        <v>0</v>
      </c>
    </row>
    <row r="71" spans="1:29" s="331" customFormat="1" ht="30.75" hidden="1">
      <c r="A71" s="342">
        <f>DADOS!A20</f>
        <v>0</v>
      </c>
      <c r="B71" s="343"/>
      <c r="C71" s="349">
        <v>1</v>
      </c>
      <c r="D71" s="345"/>
      <c r="E71" s="345">
        <f t="shared" si="37"/>
        <v>0</v>
      </c>
      <c r="F71" s="345">
        <f t="shared" si="30"/>
        <v>1.22</v>
      </c>
      <c r="G71" s="345">
        <f t="shared" si="31"/>
        <v>1.32</v>
      </c>
      <c r="H71" s="345">
        <f t="shared" si="24"/>
        <v>0</v>
      </c>
      <c r="I71" s="345">
        <f t="shared" si="38"/>
        <v>0</v>
      </c>
      <c r="J71" s="346">
        <f t="shared" si="33"/>
        <v>0</v>
      </c>
      <c r="K71" s="345">
        <f t="shared" si="25"/>
        <v>0</v>
      </c>
      <c r="L71" s="345">
        <f t="shared" si="34"/>
        <v>0</v>
      </c>
      <c r="M71" s="345">
        <f t="shared" si="26"/>
        <v>0</v>
      </c>
      <c r="N71" s="345">
        <f t="shared" si="35"/>
        <v>0</v>
      </c>
      <c r="O71" s="345">
        <f t="shared" si="36"/>
        <v>0</v>
      </c>
      <c r="P71" s="345">
        <f t="shared" si="27"/>
        <v>0</v>
      </c>
      <c r="Q71" s="433">
        <f t="shared" si="28"/>
        <v>0</v>
      </c>
      <c r="R71" s="347"/>
      <c r="S71" s="354">
        <f>'PLANILHA GERAL'!$J$60</f>
        <v>305.42</v>
      </c>
      <c r="T71" s="354">
        <f>'PLANILHA GERAL'!$J$61</f>
        <v>13.75</v>
      </c>
      <c r="U71" s="354">
        <f>'PLANILHA GERAL'!$J$62</f>
        <v>8.0399999999999991</v>
      </c>
      <c r="V71" s="354">
        <f>'PLANILHA GERAL'!$J$63</f>
        <v>3.45</v>
      </c>
      <c r="W71" s="354">
        <f>'PLANILHA GERAL'!$J$64</f>
        <v>7.35</v>
      </c>
      <c r="X71" s="354">
        <f>'PLANILHA GERAL'!$J$65</f>
        <v>60.59</v>
      </c>
      <c r="Y71" s="354">
        <f>'PLANILHA GERAL'!$J$66</f>
        <v>219.78</v>
      </c>
      <c r="Z71" s="354">
        <f>'PLANILHA GERAL'!$J$67</f>
        <v>22.08</v>
      </c>
      <c r="AA71" s="354">
        <f>'PLANILHA GERAL'!$J$68</f>
        <v>51.71</v>
      </c>
      <c r="AB71" s="354">
        <f>'PLANILHA GERAL'!$J$69</f>
        <v>70.59</v>
      </c>
      <c r="AC71" s="348">
        <f t="shared" si="29"/>
        <v>0</v>
      </c>
    </row>
    <row r="72" spans="1:29" s="331" customFormat="1" ht="30.75" hidden="1">
      <c r="A72" s="342">
        <f>DADOS!A21</f>
        <v>0</v>
      </c>
      <c r="B72" s="343">
        <f>DADOS!B21</f>
        <v>0</v>
      </c>
      <c r="C72" s="349">
        <v>1</v>
      </c>
      <c r="D72" s="345"/>
      <c r="E72" s="345">
        <f t="shared" si="37"/>
        <v>0</v>
      </c>
      <c r="F72" s="345">
        <f t="shared" si="30"/>
        <v>1.22</v>
      </c>
      <c r="G72" s="345">
        <f t="shared" si="31"/>
        <v>1.32</v>
      </c>
      <c r="H72" s="345">
        <f t="shared" si="24"/>
        <v>0</v>
      </c>
      <c r="I72" s="345">
        <f t="shared" si="38"/>
        <v>0</v>
      </c>
      <c r="J72" s="346">
        <f t="shared" si="33"/>
        <v>0</v>
      </c>
      <c r="K72" s="345">
        <f t="shared" si="25"/>
        <v>0</v>
      </c>
      <c r="L72" s="345">
        <f t="shared" si="34"/>
        <v>0</v>
      </c>
      <c r="M72" s="345">
        <f t="shared" si="26"/>
        <v>0</v>
      </c>
      <c r="N72" s="345">
        <f t="shared" si="35"/>
        <v>0</v>
      </c>
      <c r="O72" s="345">
        <f t="shared" si="36"/>
        <v>0</v>
      </c>
      <c r="P72" s="345">
        <f t="shared" si="27"/>
        <v>0</v>
      </c>
      <c r="Q72" s="433">
        <f t="shared" si="28"/>
        <v>0</v>
      </c>
      <c r="R72" s="347"/>
      <c r="S72" s="354">
        <f>'PLANILHA GERAL'!$J$60</f>
        <v>305.42</v>
      </c>
      <c r="T72" s="354">
        <f>'PLANILHA GERAL'!$J$61</f>
        <v>13.75</v>
      </c>
      <c r="U72" s="354">
        <f>'PLANILHA GERAL'!$J$62</f>
        <v>8.0399999999999991</v>
      </c>
      <c r="V72" s="354">
        <f>'PLANILHA GERAL'!$J$63</f>
        <v>3.45</v>
      </c>
      <c r="W72" s="354">
        <f>'PLANILHA GERAL'!$J$64</f>
        <v>7.35</v>
      </c>
      <c r="X72" s="354">
        <f>'PLANILHA GERAL'!$J$65</f>
        <v>60.59</v>
      </c>
      <c r="Y72" s="354">
        <f>'PLANILHA GERAL'!$J$66</f>
        <v>219.78</v>
      </c>
      <c r="Z72" s="354">
        <f>'PLANILHA GERAL'!$J$67</f>
        <v>22.08</v>
      </c>
      <c r="AA72" s="354">
        <f>'PLANILHA GERAL'!$J$68</f>
        <v>51.71</v>
      </c>
      <c r="AB72" s="354">
        <f>'PLANILHA GERAL'!$J$69</f>
        <v>70.59</v>
      </c>
      <c r="AC72" s="348">
        <f t="shared" si="29"/>
        <v>0</v>
      </c>
    </row>
    <row r="73" spans="1:29" s="331" customFormat="1" ht="30.75" hidden="1">
      <c r="A73" s="342">
        <f>DADOS!A22</f>
        <v>0</v>
      </c>
      <c r="B73" s="343">
        <f>DADOS!B22</f>
        <v>0</v>
      </c>
      <c r="C73" s="349">
        <v>1</v>
      </c>
      <c r="D73" s="345"/>
      <c r="E73" s="345">
        <f t="shared" si="37"/>
        <v>0</v>
      </c>
      <c r="F73" s="345">
        <f t="shared" si="30"/>
        <v>1.22</v>
      </c>
      <c r="G73" s="345">
        <f t="shared" si="31"/>
        <v>1.32</v>
      </c>
      <c r="H73" s="345">
        <f t="shared" si="24"/>
        <v>0</v>
      </c>
      <c r="I73" s="345">
        <f t="shared" si="38"/>
        <v>0</v>
      </c>
      <c r="J73" s="346">
        <f t="shared" si="33"/>
        <v>0</v>
      </c>
      <c r="K73" s="345">
        <f t="shared" si="25"/>
        <v>0</v>
      </c>
      <c r="L73" s="345">
        <f t="shared" si="34"/>
        <v>0</v>
      </c>
      <c r="M73" s="345">
        <f t="shared" si="26"/>
        <v>0</v>
      </c>
      <c r="N73" s="345">
        <f t="shared" si="35"/>
        <v>0</v>
      </c>
      <c r="O73" s="345">
        <f t="shared" si="36"/>
        <v>0</v>
      </c>
      <c r="P73" s="345">
        <f t="shared" si="27"/>
        <v>0</v>
      </c>
      <c r="Q73" s="433">
        <f t="shared" si="28"/>
        <v>0</v>
      </c>
      <c r="R73" s="347"/>
      <c r="S73" s="354">
        <f>'PLANILHA GERAL'!$J$60</f>
        <v>305.42</v>
      </c>
      <c r="T73" s="354">
        <f>'PLANILHA GERAL'!$J$61</f>
        <v>13.75</v>
      </c>
      <c r="U73" s="354">
        <f>'PLANILHA GERAL'!$J$62</f>
        <v>8.0399999999999991</v>
      </c>
      <c r="V73" s="354">
        <f>'PLANILHA GERAL'!$J$63</f>
        <v>3.45</v>
      </c>
      <c r="W73" s="354">
        <f>'PLANILHA GERAL'!$J$64</f>
        <v>7.35</v>
      </c>
      <c r="X73" s="354">
        <f>'PLANILHA GERAL'!$J$65</f>
        <v>60.59</v>
      </c>
      <c r="Y73" s="354">
        <f>'PLANILHA GERAL'!$J$66</f>
        <v>219.78</v>
      </c>
      <c r="Z73" s="354">
        <f>'PLANILHA GERAL'!$J$67</f>
        <v>22.08</v>
      </c>
      <c r="AA73" s="354">
        <f>'PLANILHA GERAL'!$J$68</f>
        <v>51.71</v>
      </c>
      <c r="AB73" s="354">
        <f>'PLANILHA GERAL'!$J$69</f>
        <v>70.59</v>
      </c>
      <c r="AC73" s="348">
        <f t="shared" si="29"/>
        <v>0</v>
      </c>
    </row>
    <row r="74" spans="1:29" s="331" customFormat="1" ht="30.75" hidden="1">
      <c r="A74" s="342">
        <f>DADOS!A23</f>
        <v>0</v>
      </c>
      <c r="B74" s="343">
        <f>DADOS!B23</f>
        <v>0</v>
      </c>
      <c r="C74" s="349">
        <v>1</v>
      </c>
      <c r="D74" s="345"/>
      <c r="E74" s="345">
        <f t="shared" si="37"/>
        <v>0</v>
      </c>
      <c r="F74" s="345">
        <f t="shared" si="30"/>
        <v>1.22</v>
      </c>
      <c r="G74" s="345">
        <f t="shared" si="31"/>
        <v>1.32</v>
      </c>
      <c r="H74" s="345">
        <f t="shared" si="24"/>
        <v>0</v>
      </c>
      <c r="I74" s="345">
        <f t="shared" si="38"/>
        <v>0</v>
      </c>
      <c r="J74" s="346">
        <f t="shared" si="33"/>
        <v>0</v>
      </c>
      <c r="K74" s="345">
        <f t="shared" si="25"/>
        <v>0</v>
      </c>
      <c r="L74" s="345">
        <f t="shared" si="34"/>
        <v>0</v>
      </c>
      <c r="M74" s="345">
        <f t="shared" si="26"/>
        <v>0</v>
      </c>
      <c r="N74" s="345">
        <f t="shared" si="35"/>
        <v>0</v>
      </c>
      <c r="O74" s="345">
        <f t="shared" si="36"/>
        <v>0</v>
      </c>
      <c r="P74" s="345">
        <f t="shared" si="27"/>
        <v>0</v>
      </c>
      <c r="Q74" s="433">
        <f t="shared" si="28"/>
        <v>0</v>
      </c>
      <c r="R74" s="347"/>
      <c r="S74" s="354">
        <f>'PLANILHA GERAL'!$J$60</f>
        <v>305.42</v>
      </c>
      <c r="T74" s="354">
        <f>'PLANILHA GERAL'!$J$61</f>
        <v>13.75</v>
      </c>
      <c r="U74" s="354">
        <f>'PLANILHA GERAL'!$J$62</f>
        <v>8.0399999999999991</v>
      </c>
      <c r="V74" s="354">
        <f>'PLANILHA GERAL'!$J$63</f>
        <v>3.45</v>
      </c>
      <c r="W74" s="354">
        <f>'PLANILHA GERAL'!$J$64</f>
        <v>7.35</v>
      </c>
      <c r="X74" s="354">
        <f>'PLANILHA GERAL'!$J$65</f>
        <v>60.59</v>
      </c>
      <c r="Y74" s="354">
        <f>'PLANILHA GERAL'!$J$66</f>
        <v>219.78</v>
      </c>
      <c r="Z74" s="354">
        <f>'PLANILHA GERAL'!$J$67</f>
        <v>22.08</v>
      </c>
      <c r="AA74" s="354">
        <f>'PLANILHA GERAL'!$J$68</f>
        <v>51.71</v>
      </c>
      <c r="AB74" s="354">
        <f>'PLANILHA GERAL'!$J$69</f>
        <v>70.59</v>
      </c>
      <c r="AC74" s="348">
        <f t="shared" si="29"/>
        <v>0</v>
      </c>
    </row>
    <row r="75" spans="1:29" s="331" customFormat="1" ht="30.75" hidden="1">
      <c r="A75" s="342">
        <f>DADOS!A24</f>
        <v>0</v>
      </c>
      <c r="B75" s="343">
        <f>DADOS!B24</f>
        <v>0</v>
      </c>
      <c r="C75" s="349">
        <v>1</v>
      </c>
      <c r="D75" s="345"/>
      <c r="E75" s="345">
        <f t="shared" si="37"/>
        <v>0</v>
      </c>
      <c r="F75" s="345">
        <f t="shared" si="30"/>
        <v>1.22</v>
      </c>
      <c r="G75" s="345">
        <f t="shared" si="31"/>
        <v>1.32</v>
      </c>
      <c r="H75" s="345">
        <f t="shared" si="24"/>
        <v>0</v>
      </c>
      <c r="I75" s="345">
        <f t="shared" si="38"/>
        <v>0</v>
      </c>
      <c r="J75" s="346">
        <f t="shared" si="33"/>
        <v>0</v>
      </c>
      <c r="K75" s="345">
        <f t="shared" si="25"/>
        <v>0</v>
      </c>
      <c r="L75" s="345">
        <f t="shared" si="34"/>
        <v>0</v>
      </c>
      <c r="M75" s="345">
        <f t="shared" si="26"/>
        <v>0</v>
      </c>
      <c r="N75" s="345">
        <f t="shared" si="35"/>
        <v>0</v>
      </c>
      <c r="O75" s="345">
        <f t="shared" si="36"/>
        <v>0</v>
      </c>
      <c r="P75" s="345">
        <f t="shared" si="27"/>
        <v>0</v>
      </c>
      <c r="Q75" s="433">
        <f t="shared" si="28"/>
        <v>0</v>
      </c>
      <c r="R75" s="347"/>
      <c r="S75" s="354">
        <f>'PLANILHA GERAL'!$J$60</f>
        <v>305.42</v>
      </c>
      <c r="T75" s="354">
        <f>'PLANILHA GERAL'!$J$61</f>
        <v>13.75</v>
      </c>
      <c r="U75" s="354">
        <f>'PLANILHA GERAL'!$J$62</f>
        <v>8.0399999999999991</v>
      </c>
      <c r="V75" s="354">
        <f>'PLANILHA GERAL'!$J$63</f>
        <v>3.45</v>
      </c>
      <c r="W75" s="354">
        <f>'PLANILHA GERAL'!$J$64</f>
        <v>7.35</v>
      </c>
      <c r="X75" s="354">
        <f>'PLANILHA GERAL'!$J$65</f>
        <v>60.59</v>
      </c>
      <c r="Y75" s="354">
        <f>'PLANILHA GERAL'!$J$66</f>
        <v>219.78</v>
      </c>
      <c r="Z75" s="354">
        <f>'PLANILHA GERAL'!$J$67</f>
        <v>22.08</v>
      </c>
      <c r="AA75" s="354">
        <f>'PLANILHA GERAL'!$J$68</f>
        <v>51.71</v>
      </c>
      <c r="AB75" s="354">
        <f>'PLANILHA GERAL'!$J$69</f>
        <v>70.59</v>
      </c>
      <c r="AC75" s="348">
        <f t="shared" si="29"/>
        <v>0</v>
      </c>
    </row>
    <row r="76" spans="1:29" s="331" customFormat="1" ht="30.75" hidden="1">
      <c r="A76" s="342">
        <f>DADOS!A25</f>
        <v>0</v>
      </c>
      <c r="B76" s="343">
        <f>DADOS!B25</f>
        <v>0</v>
      </c>
      <c r="C76" s="349">
        <v>1</v>
      </c>
      <c r="D76" s="345"/>
      <c r="E76" s="345">
        <f t="shared" si="37"/>
        <v>0</v>
      </c>
      <c r="F76" s="345">
        <f t="shared" si="30"/>
        <v>1.22</v>
      </c>
      <c r="G76" s="345">
        <f t="shared" si="31"/>
        <v>1.32</v>
      </c>
      <c r="H76" s="345">
        <f t="shared" si="24"/>
        <v>0</v>
      </c>
      <c r="I76" s="345">
        <f t="shared" si="38"/>
        <v>0</v>
      </c>
      <c r="J76" s="346">
        <f t="shared" si="33"/>
        <v>0</v>
      </c>
      <c r="K76" s="345">
        <f t="shared" si="25"/>
        <v>0</v>
      </c>
      <c r="L76" s="345">
        <f t="shared" si="34"/>
        <v>0</v>
      </c>
      <c r="M76" s="345">
        <f t="shared" si="26"/>
        <v>0</v>
      </c>
      <c r="N76" s="345">
        <f t="shared" si="35"/>
        <v>0</v>
      </c>
      <c r="O76" s="345">
        <f t="shared" si="36"/>
        <v>0</v>
      </c>
      <c r="P76" s="345">
        <f t="shared" si="27"/>
        <v>0</v>
      </c>
      <c r="Q76" s="433">
        <f t="shared" si="28"/>
        <v>0</v>
      </c>
      <c r="R76" s="347"/>
      <c r="S76" s="354">
        <f>'PLANILHA GERAL'!$J$60</f>
        <v>305.42</v>
      </c>
      <c r="T76" s="354">
        <f>'PLANILHA GERAL'!$J$61</f>
        <v>13.75</v>
      </c>
      <c r="U76" s="354">
        <f>'PLANILHA GERAL'!$J$62</f>
        <v>8.0399999999999991</v>
      </c>
      <c r="V76" s="354">
        <f>'PLANILHA GERAL'!$J$63</f>
        <v>3.45</v>
      </c>
      <c r="W76" s="354">
        <f>'PLANILHA GERAL'!$J$64</f>
        <v>7.35</v>
      </c>
      <c r="X76" s="354">
        <f>'PLANILHA GERAL'!$J$65</f>
        <v>60.59</v>
      </c>
      <c r="Y76" s="354">
        <f>'PLANILHA GERAL'!$J$66</f>
        <v>219.78</v>
      </c>
      <c r="Z76" s="354">
        <f>'PLANILHA GERAL'!$J$67</f>
        <v>22.08</v>
      </c>
      <c r="AA76" s="354">
        <f>'PLANILHA GERAL'!$J$68</f>
        <v>51.71</v>
      </c>
      <c r="AB76" s="354">
        <f>'PLANILHA GERAL'!$J$69</f>
        <v>70.59</v>
      </c>
      <c r="AC76" s="348">
        <f t="shared" si="29"/>
        <v>0</v>
      </c>
    </row>
    <row r="77" spans="1:29" s="331" customFormat="1" ht="30.75" hidden="1">
      <c r="A77" s="342">
        <f>DADOS!A26</f>
        <v>0</v>
      </c>
      <c r="B77" s="343">
        <f>DADOS!B26</f>
        <v>0</v>
      </c>
      <c r="C77" s="349">
        <v>1</v>
      </c>
      <c r="D77" s="345"/>
      <c r="E77" s="345">
        <f t="shared" si="37"/>
        <v>0</v>
      </c>
      <c r="F77" s="345">
        <f t="shared" si="30"/>
        <v>1.22</v>
      </c>
      <c r="G77" s="345">
        <f t="shared" si="31"/>
        <v>1.32</v>
      </c>
      <c r="H77" s="345">
        <f t="shared" si="24"/>
        <v>0</v>
      </c>
      <c r="I77" s="345">
        <f t="shared" si="38"/>
        <v>0</v>
      </c>
      <c r="J77" s="346">
        <f t="shared" si="33"/>
        <v>0</v>
      </c>
      <c r="K77" s="345">
        <f t="shared" si="25"/>
        <v>0</v>
      </c>
      <c r="L77" s="345">
        <f t="shared" si="34"/>
        <v>0</v>
      </c>
      <c r="M77" s="345">
        <f t="shared" si="26"/>
        <v>0</v>
      </c>
      <c r="N77" s="345">
        <f t="shared" si="35"/>
        <v>0</v>
      </c>
      <c r="O77" s="345">
        <f t="shared" si="36"/>
        <v>0</v>
      </c>
      <c r="P77" s="345">
        <f t="shared" si="27"/>
        <v>0</v>
      </c>
      <c r="Q77" s="433">
        <f t="shared" si="28"/>
        <v>0</v>
      </c>
      <c r="R77" s="347"/>
      <c r="S77" s="354">
        <f>'PLANILHA GERAL'!$J$60</f>
        <v>305.42</v>
      </c>
      <c r="T77" s="354">
        <f>'PLANILHA GERAL'!$J$61</f>
        <v>13.75</v>
      </c>
      <c r="U77" s="354">
        <f>'PLANILHA GERAL'!$J$62</f>
        <v>8.0399999999999991</v>
      </c>
      <c r="V77" s="354">
        <f>'PLANILHA GERAL'!$J$63</f>
        <v>3.45</v>
      </c>
      <c r="W77" s="354">
        <f>'PLANILHA GERAL'!$J$64</f>
        <v>7.35</v>
      </c>
      <c r="X77" s="354">
        <f>'PLANILHA GERAL'!$J$65</f>
        <v>60.59</v>
      </c>
      <c r="Y77" s="354">
        <f>'PLANILHA GERAL'!$J$66</f>
        <v>219.78</v>
      </c>
      <c r="Z77" s="354">
        <f>'PLANILHA GERAL'!$J$67</f>
        <v>22.08</v>
      </c>
      <c r="AA77" s="354">
        <f>'PLANILHA GERAL'!$J$68</f>
        <v>51.71</v>
      </c>
      <c r="AB77" s="354">
        <f>'PLANILHA GERAL'!$J$69</f>
        <v>70.59</v>
      </c>
      <c r="AC77" s="348">
        <f t="shared" si="29"/>
        <v>0</v>
      </c>
    </row>
    <row r="78" spans="1:29" s="331" customFormat="1" ht="30.75" hidden="1">
      <c r="A78" s="342">
        <f>DADOS!A27</f>
        <v>0</v>
      </c>
      <c r="B78" s="343">
        <f>DADOS!B27</f>
        <v>0</v>
      </c>
      <c r="C78" s="349">
        <v>1</v>
      </c>
      <c r="D78" s="345"/>
      <c r="E78" s="345">
        <f t="shared" si="37"/>
        <v>0</v>
      </c>
      <c r="F78" s="345">
        <f t="shared" si="30"/>
        <v>1.22</v>
      </c>
      <c r="G78" s="345">
        <f t="shared" si="31"/>
        <v>1.32</v>
      </c>
      <c r="H78" s="345">
        <f t="shared" si="24"/>
        <v>0</v>
      </c>
      <c r="I78" s="345">
        <f t="shared" si="38"/>
        <v>0</v>
      </c>
      <c r="J78" s="346">
        <f t="shared" si="33"/>
        <v>0</v>
      </c>
      <c r="K78" s="345">
        <f t="shared" si="25"/>
        <v>0</v>
      </c>
      <c r="L78" s="345">
        <f t="shared" si="34"/>
        <v>0</v>
      </c>
      <c r="M78" s="345">
        <f t="shared" si="26"/>
        <v>0</v>
      </c>
      <c r="N78" s="345">
        <f t="shared" si="35"/>
        <v>0</v>
      </c>
      <c r="O78" s="345">
        <f t="shared" si="36"/>
        <v>0</v>
      </c>
      <c r="P78" s="345">
        <f t="shared" si="27"/>
        <v>0</v>
      </c>
      <c r="Q78" s="433">
        <f t="shared" si="28"/>
        <v>0</v>
      </c>
      <c r="R78" s="347"/>
      <c r="S78" s="354">
        <f>'PLANILHA GERAL'!$J$60</f>
        <v>305.42</v>
      </c>
      <c r="T78" s="354">
        <f>'PLANILHA GERAL'!$J$61</f>
        <v>13.75</v>
      </c>
      <c r="U78" s="354">
        <f>'PLANILHA GERAL'!$J$62</f>
        <v>8.0399999999999991</v>
      </c>
      <c r="V78" s="354">
        <f>'PLANILHA GERAL'!$J$63</f>
        <v>3.45</v>
      </c>
      <c r="W78" s="354">
        <f>'PLANILHA GERAL'!$J$64</f>
        <v>7.35</v>
      </c>
      <c r="X78" s="354">
        <f>'PLANILHA GERAL'!$J$65</f>
        <v>60.59</v>
      </c>
      <c r="Y78" s="354">
        <f>'PLANILHA GERAL'!$J$66</f>
        <v>219.78</v>
      </c>
      <c r="Z78" s="354">
        <f>'PLANILHA GERAL'!$J$67</f>
        <v>22.08</v>
      </c>
      <c r="AA78" s="354">
        <f>'PLANILHA GERAL'!$J$68</f>
        <v>51.71</v>
      </c>
      <c r="AB78" s="354">
        <f>'PLANILHA GERAL'!$J$69</f>
        <v>70.59</v>
      </c>
      <c r="AC78" s="348">
        <f t="shared" si="29"/>
        <v>0</v>
      </c>
    </row>
    <row r="79" spans="1:29" s="331" customFormat="1" ht="45" hidden="1" customHeight="1">
      <c r="A79" s="342">
        <f>DADOS!A28</f>
        <v>0</v>
      </c>
      <c r="B79" s="343">
        <f>DADOS!B28</f>
        <v>0</v>
      </c>
      <c r="C79" s="349">
        <v>1</v>
      </c>
      <c r="D79" s="345"/>
      <c r="E79" s="345">
        <f t="shared" si="37"/>
        <v>0</v>
      </c>
      <c r="F79" s="345">
        <f t="shared" si="30"/>
        <v>1.22</v>
      </c>
      <c r="G79" s="345">
        <f t="shared" si="31"/>
        <v>1.32</v>
      </c>
      <c r="H79" s="345">
        <f t="shared" si="24"/>
        <v>0</v>
      </c>
      <c r="I79" s="345">
        <f t="shared" si="38"/>
        <v>0</v>
      </c>
      <c r="J79" s="346">
        <f t="shared" si="33"/>
        <v>0</v>
      </c>
      <c r="K79" s="345">
        <f t="shared" si="25"/>
        <v>0</v>
      </c>
      <c r="L79" s="345">
        <f t="shared" si="34"/>
        <v>0</v>
      </c>
      <c r="M79" s="345">
        <f t="shared" si="26"/>
        <v>0</v>
      </c>
      <c r="N79" s="345">
        <f t="shared" si="35"/>
        <v>0</v>
      </c>
      <c r="O79" s="345">
        <f t="shared" si="36"/>
        <v>0</v>
      </c>
      <c r="P79" s="345">
        <f t="shared" si="27"/>
        <v>0</v>
      </c>
      <c r="Q79" s="433">
        <f t="shared" si="28"/>
        <v>0</v>
      </c>
      <c r="R79" s="347"/>
      <c r="S79" s="354">
        <f>'PLANILHA GERAL'!$J$60</f>
        <v>305.42</v>
      </c>
      <c r="T79" s="354">
        <f>'PLANILHA GERAL'!$J$61</f>
        <v>13.75</v>
      </c>
      <c r="U79" s="354">
        <f>'PLANILHA GERAL'!$J$62</f>
        <v>8.0399999999999991</v>
      </c>
      <c r="V79" s="354">
        <f>'PLANILHA GERAL'!$J$63</f>
        <v>3.45</v>
      </c>
      <c r="W79" s="354">
        <f>'PLANILHA GERAL'!$J$64</f>
        <v>7.35</v>
      </c>
      <c r="X79" s="354">
        <f>'PLANILHA GERAL'!$J$65</f>
        <v>60.59</v>
      </c>
      <c r="Y79" s="354">
        <f>'PLANILHA GERAL'!$J$66</f>
        <v>219.78</v>
      </c>
      <c r="Z79" s="354">
        <f>'PLANILHA GERAL'!$J$67</f>
        <v>22.08</v>
      </c>
      <c r="AA79" s="354">
        <f>'PLANILHA GERAL'!$J$68</f>
        <v>51.71</v>
      </c>
      <c r="AB79" s="354">
        <f>'PLANILHA GERAL'!$J$69</f>
        <v>70.59</v>
      </c>
      <c r="AC79" s="348">
        <f t="shared" si="29"/>
        <v>0</v>
      </c>
    </row>
    <row r="80" spans="1:29" s="331" customFormat="1" ht="30.75" hidden="1">
      <c r="A80" s="342">
        <f>DADOS!A29</f>
        <v>0</v>
      </c>
      <c r="B80" s="343">
        <f>DADOS!B29</f>
        <v>0</v>
      </c>
      <c r="C80" s="349">
        <v>1</v>
      </c>
      <c r="D80" s="345"/>
      <c r="E80" s="345">
        <f t="shared" si="37"/>
        <v>0</v>
      </c>
      <c r="F80" s="345">
        <f t="shared" si="30"/>
        <v>1.22</v>
      </c>
      <c r="G80" s="345">
        <f t="shared" si="31"/>
        <v>1.32</v>
      </c>
      <c r="H80" s="345">
        <f t="shared" si="24"/>
        <v>0</v>
      </c>
      <c r="I80" s="345">
        <f t="shared" si="38"/>
        <v>0</v>
      </c>
      <c r="J80" s="346">
        <f t="shared" si="33"/>
        <v>0</v>
      </c>
      <c r="K80" s="345">
        <f t="shared" si="25"/>
        <v>0</v>
      </c>
      <c r="L80" s="345">
        <f t="shared" si="34"/>
        <v>0</v>
      </c>
      <c r="M80" s="345">
        <f t="shared" si="26"/>
        <v>0</v>
      </c>
      <c r="N80" s="345">
        <f t="shared" si="35"/>
        <v>0</v>
      </c>
      <c r="O80" s="345">
        <f t="shared" si="36"/>
        <v>0</v>
      </c>
      <c r="P80" s="345">
        <f t="shared" si="27"/>
        <v>0</v>
      </c>
      <c r="Q80" s="433">
        <f t="shared" si="28"/>
        <v>0</v>
      </c>
      <c r="R80" s="347"/>
      <c r="S80" s="354">
        <f>'PLANILHA GERAL'!$J$60</f>
        <v>305.42</v>
      </c>
      <c r="T80" s="354">
        <f>'PLANILHA GERAL'!$J$61</f>
        <v>13.75</v>
      </c>
      <c r="U80" s="354">
        <f>'PLANILHA GERAL'!$J$62</f>
        <v>8.0399999999999991</v>
      </c>
      <c r="V80" s="354">
        <f>'PLANILHA GERAL'!$J$63</f>
        <v>3.45</v>
      </c>
      <c r="W80" s="354">
        <f>'PLANILHA GERAL'!$J$64</f>
        <v>7.35</v>
      </c>
      <c r="X80" s="354">
        <f>'PLANILHA GERAL'!$J$65</f>
        <v>60.59</v>
      </c>
      <c r="Y80" s="354">
        <f>'PLANILHA GERAL'!$J$66</f>
        <v>219.78</v>
      </c>
      <c r="Z80" s="354">
        <f>'PLANILHA GERAL'!$J$67</f>
        <v>22.08</v>
      </c>
      <c r="AA80" s="354">
        <f>'PLANILHA GERAL'!$J$68</f>
        <v>51.71</v>
      </c>
      <c r="AB80" s="354">
        <f>'PLANILHA GERAL'!$J$69</f>
        <v>70.59</v>
      </c>
      <c r="AC80" s="348">
        <f t="shared" si="29"/>
        <v>0</v>
      </c>
    </row>
    <row r="81" spans="1:29" s="331" customFormat="1" ht="45" hidden="1" customHeight="1">
      <c r="A81" s="342">
        <f>DADOS!A30</f>
        <v>0</v>
      </c>
      <c r="B81" s="343">
        <f>DADOS!B30</f>
        <v>0</v>
      </c>
      <c r="C81" s="349">
        <v>1</v>
      </c>
      <c r="D81" s="345"/>
      <c r="E81" s="345">
        <f t="shared" ref="E81:E95" si="39">C81*D81</f>
        <v>0</v>
      </c>
      <c r="F81" s="345">
        <f t="shared" si="30"/>
        <v>1.22</v>
      </c>
      <c r="G81" s="345">
        <f t="shared" ref="G81:G95" si="40">((0.72+0.6)+((0.72+0.6)+(E81*0.5%)))/2</f>
        <v>1.32</v>
      </c>
      <c r="H81" s="345">
        <f t="shared" ref="H81:H95" si="41">E81*F81*G81</f>
        <v>0</v>
      </c>
      <c r="I81" s="345">
        <f t="shared" si="38"/>
        <v>0</v>
      </c>
      <c r="J81" s="346">
        <f t="shared" ref="J81:J95" si="42">I81*1.25*$J$16</f>
        <v>0</v>
      </c>
      <c r="K81" s="345">
        <f t="shared" ref="K81:K95" si="43">E81*F81</f>
        <v>0</v>
      </c>
      <c r="L81" s="345">
        <f t="shared" ref="L81:L95" si="44">K81</f>
        <v>0</v>
      </c>
      <c r="M81" s="345">
        <f t="shared" ref="M81:M95" si="45">(3.14*0.3^2)*E81</f>
        <v>0</v>
      </c>
      <c r="N81" s="345">
        <f t="shared" ref="N81:N95" si="46">(H81-M81)*70%</f>
        <v>0</v>
      </c>
      <c r="O81" s="345">
        <f t="shared" ref="O81:O95" si="47">(H81-M81)*30%</f>
        <v>0</v>
      </c>
      <c r="P81" s="345">
        <f t="shared" ref="P81:P95" si="48">IF(G81&gt;1.5,D81*G81*2,)</f>
        <v>0</v>
      </c>
      <c r="Q81" s="433">
        <f t="shared" ref="Q81:Q95" si="49">E81</f>
        <v>0</v>
      </c>
      <c r="R81" s="347"/>
      <c r="S81" s="354">
        <f>'PLANILHA GERAL'!$J$60</f>
        <v>305.42</v>
      </c>
      <c r="T81" s="354">
        <f>'PLANILHA GERAL'!$J$61</f>
        <v>13.75</v>
      </c>
      <c r="U81" s="354">
        <f>'PLANILHA GERAL'!$J$62</f>
        <v>8.0399999999999991</v>
      </c>
      <c r="V81" s="354">
        <f>'PLANILHA GERAL'!$J$63</f>
        <v>3.45</v>
      </c>
      <c r="W81" s="354">
        <f>'PLANILHA GERAL'!$J$64</f>
        <v>7.35</v>
      </c>
      <c r="X81" s="354">
        <f>'PLANILHA GERAL'!$J$65</f>
        <v>60.59</v>
      </c>
      <c r="Y81" s="354">
        <f>'PLANILHA GERAL'!$J$66</f>
        <v>219.78</v>
      </c>
      <c r="Z81" s="354">
        <f>'PLANILHA GERAL'!$J$67</f>
        <v>22.08</v>
      </c>
      <c r="AA81" s="354">
        <f>'PLANILHA GERAL'!$J$68</f>
        <v>51.71</v>
      </c>
      <c r="AB81" s="354">
        <f>'PLANILHA GERAL'!$J$69</f>
        <v>70.59</v>
      </c>
      <c r="AC81" s="348">
        <f t="shared" ref="AC81:AC95" si="50">(E81*S81)+(H81*T81)+(I81*U81)+(J81*V81)+(K81*W81)+(L81*X81)+(N81*Y81)+(O81*Z81)+(P81*AA81)+(Q81*AB81)</f>
        <v>0</v>
      </c>
    </row>
    <row r="82" spans="1:29" s="331" customFormat="1" ht="30.75" hidden="1">
      <c r="A82" s="342">
        <f>DADOS!A31</f>
        <v>0</v>
      </c>
      <c r="B82" s="343">
        <f>DADOS!B31</f>
        <v>0</v>
      </c>
      <c r="C82" s="349">
        <v>1</v>
      </c>
      <c r="D82" s="345"/>
      <c r="E82" s="345">
        <f t="shared" si="39"/>
        <v>0</v>
      </c>
      <c r="F82" s="345">
        <f t="shared" si="30"/>
        <v>1.22</v>
      </c>
      <c r="G82" s="345">
        <f t="shared" si="40"/>
        <v>1.32</v>
      </c>
      <c r="H82" s="345">
        <f t="shared" si="41"/>
        <v>0</v>
      </c>
      <c r="I82" s="345">
        <f t="shared" si="38"/>
        <v>0</v>
      </c>
      <c r="J82" s="346">
        <f t="shared" si="42"/>
        <v>0</v>
      </c>
      <c r="K82" s="345">
        <f t="shared" si="43"/>
        <v>0</v>
      </c>
      <c r="L82" s="345">
        <f t="shared" si="44"/>
        <v>0</v>
      </c>
      <c r="M82" s="345">
        <f t="shared" si="45"/>
        <v>0</v>
      </c>
      <c r="N82" s="345">
        <f t="shared" si="46"/>
        <v>0</v>
      </c>
      <c r="O82" s="345">
        <f t="shared" si="47"/>
        <v>0</v>
      </c>
      <c r="P82" s="345">
        <f t="shared" si="48"/>
        <v>0</v>
      </c>
      <c r="Q82" s="433">
        <f t="shared" si="49"/>
        <v>0</v>
      </c>
      <c r="R82" s="347"/>
      <c r="S82" s="354">
        <f>'PLANILHA GERAL'!$J$60</f>
        <v>305.42</v>
      </c>
      <c r="T82" s="354">
        <f>'PLANILHA GERAL'!$J$61</f>
        <v>13.75</v>
      </c>
      <c r="U82" s="354">
        <f>'PLANILHA GERAL'!$J$62</f>
        <v>8.0399999999999991</v>
      </c>
      <c r="V82" s="354">
        <f>'PLANILHA GERAL'!$J$63</f>
        <v>3.45</v>
      </c>
      <c r="W82" s="354">
        <f>'PLANILHA GERAL'!$J$64</f>
        <v>7.35</v>
      </c>
      <c r="X82" s="354">
        <f>'PLANILHA GERAL'!$J$65</f>
        <v>60.59</v>
      </c>
      <c r="Y82" s="354">
        <f>'PLANILHA GERAL'!$J$66</f>
        <v>219.78</v>
      </c>
      <c r="Z82" s="354">
        <f>'PLANILHA GERAL'!$J$67</f>
        <v>22.08</v>
      </c>
      <c r="AA82" s="354">
        <f>'PLANILHA GERAL'!$J$68</f>
        <v>51.71</v>
      </c>
      <c r="AB82" s="354">
        <f>'PLANILHA GERAL'!$J$69</f>
        <v>70.59</v>
      </c>
      <c r="AC82" s="348">
        <f t="shared" si="50"/>
        <v>0</v>
      </c>
    </row>
    <row r="83" spans="1:29" s="331" customFormat="1" ht="30.75" hidden="1">
      <c r="A83" s="342">
        <f>DADOS!A32</f>
        <v>0</v>
      </c>
      <c r="B83" s="343">
        <f>DADOS!B32</f>
        <v>0</v>
      </c>
      <c r="C83" s="349">
        <v>1</v>
      </c>
      <c r="D83" s="345"/>
      <c r="E83" s="345">
        <f t="shared" si="39"/>
        <v>0</v>
      </c>
      <c r="F83" s="345">
        <f t="shared" si="30"/>
        <v>1.22</v>
      </c>
      <c r="G83" s="345">
        <f t="shared" si="40"/>
        <v>1.32</v>
      </c>
      <c r="H83" s="345">
        <f t="shared" si="41"/>
        <v>0</v>
      </c>
      <c r="I83" s="345">
        <f t="shared" si="38"/>
        <v>0</v>
      </c>
      <c r="J83" s="346">
        <f t="shared" si="42"/>
        <v>0</v>
      </c>
      <c r="K83" s="345">
        <f t="shared" si="43"/>
        <v>0</v>
      </c>
      <c r="L83" s="345">
        <f t="shared" si="44"/>
        <v>0</v>
      </c>
      <c r="M83" s="345">
        <f t="shared" si="45"/>
        <v>0</v>
      </c>
      <c r="N83" s="345">
        <f t="shared" si="46"/>
        <v>0</v>
      </c>
      <c r="O83" s="345">
        <f t="shared" si="47"/>
        <v>0</v>
      </c>
      <c r="P83" s="345">
        <f t="shared" si="48"/>
        <v>0</v>
      </c>
      <c r="Q83" s="433">
        <f t="shared" si="49"/>
        <v>0</v>
      </c>
      <c r="R83" s="347"/>
      <c r="S83" s="354">
        <f>'PLANILHA GERAL'!$J$60</f>
        <v>305.42</v>
      </c>
      <c r="T83" s="354">
        <f>'PLANILHA GERAL'!$J$61</f>
        <v>13.75</v>
      </c>
      <c r="U83" s="354">
        <f>'PLANILHA GERAL'!$J$62</f>
        <v>8.0399999999999991</v>
      </c>
      <c r="V83" s="354">
        <f>'PLANILHA GERAL'!$J$63</f>
        <v>3.45</v>
      </c>
      <c r="W83" s="354">
        <f>'PLANILHA GERAL'!$J$64</f>
        <v>7.35</v>
      </c>
      <c r="X83" s="354">
        <f>'PLANILHA GERAL'!$J$65</f>
        <v>60.59</v>
      </c>
      <c r="Y83" s="354">
        <f>'PLANILHA GERAL'!$J$66</f>
        <v>219.78</v>
      </c>
      <c r="Z83" s="354">
        <f>'PLANILHA GERAL'!$J$67</f>
        <v>22.08</v>
      </c>
      <c r="AA83" s="354">
        <f>'PLANILHA GERAL'!$J$68</f>
        <v>51.71</v>
      </c>
      <c r="AB83" s="354">
        <f>'PLANILHA GERAL'!$J$69</f>
        <v>70.59</v>
      </c>
      <c r="AC83" s="348">
        <f t="shared" si="50"/>
        <v>0</v>
      </c>
    </row>
    <row r="84" spans="1:29" s="331" customFormat="1" ht="30.75" hidden="1">
      <c r="A84" s="342">
        <f>DADOS!A33</f>
        <v>0</v>
      </c>
      <c r="B84" s="343">
        <f>DADOS!B33</f>
        <v>0</v>
      </c>
      <c r="C84" s="349">
        <v>1</v>
      </c>
      <c r="D84" s="345"/>
      <c r="E84" s="345">
        <f t="shared" si="39"/>
        <v>0</v>
      </c>
      <c r="F84" s="345">
        <f t="shared" si="30"/>
        <v>1.22</v>
      </c>
      <c r="G84" s="345">
        <f t="shared" si="40"/>
        <v>1.32</v>
      </c>
      <c r="H84" s="345">
        <f t="shared" si="41"/>
        <v>0</v>
      </c>
      <c r="I84" s="345">
        <f t="shared" si="38"/>
        <v>0</v>
      </c>
      <c r="J84" s="346">
        <f t="shared" si="42"/>
        <v>0</v>
      </c>
      <c r="K84" s="345">
        <f t="shared" si="43"/>
        <v>0</v>
      </c>
      <c r="L84" s="345">
        <f t="shared" si="44"/>
        <v>0</v>
      </c>
      <c r="M84" s="345">
        <f t="shared" si="45"/>
        <v>0</v>
      </c>
      <c r="N84" s="345">
        <f t="shared" si="46"/>
        <v>0</v>
      </c>
      <c r="O84" s="345">
        <f t="shared" si="47"/>
        <v>0</v>
      </c>
      <c r="P84" s="345">
        <f t="shared" si="48"/>
        <v>0</v>
      </c>
      <c r="Q84" s="433">
        <f t="shared" si="49"/>
        <v>0</v>
      </c>
      <c r="R84" s="347"/>
      <c r="S84" s="354">
        <f>'PLANILHA GERAL'!$J$60</f>
        <v>305.42</v>
      </c>
      <c r="T84" s="354">
        <f>'PLANILHA GERAL'!$J$61</f>
        <v>13.75</v>
      </c>
      <c r="U84" s="354">
        <f>'PLANILHA GERAL'!$J$62</f>
        <v>8.0399999999999991</v>
      </c>
      <c r="V84" s="354">
        <f>'PLANILHA GERAL'!$J$63</f>
        <v>3.45</v>
      </c>
      <c r="W84" s="354">
        <f>'PLANILHA GERAL'!$J$64</f>
        <v>7.35</v>
      </c>
      <c r="X84" s="354">
        <f>'PLANILHA GERAL'!$J$65</f>
        <v>60.59</v>
      </c>
      <c r="Y84" s="354">
        <f>'PLANILHA GERAL'!$J$66</f>
        <v>219.78</v>
      </c>
      <c r="Z84" s="354">
        <f>'PLANILHA GERAL'!$J$67</f>
        <v>22.08</v>
      </c>
      <c r="AA84" s="354">
        <f>'PLANILHA GERAL'!$J$68</f>
        <v>51.71</v>
      </c>
      <c r="AB84" s="354">
        <f>'PLANILHA GERAL'!$J$69</f>
        <v>70.59</v>
      </c>
      <c r="AC84" s="348">
        <f t="shared" si="50"/>
        <v>0</v>
      </c>
    </row>
    <row r="85" spans="1:29" s="331" customFormat="1" ht="30.75" hidden="1">
      <c r="A85" s="342">
        <f>DADOS!A34</f>
        <v>0</v>
      </c>
      <c r="B85" s="343">
        <f>DADOS!B34</f>
        <v>0</v>
      </c>
      <c r="C85" s="349">
        <v>1</v>
      </c>
      <c r="D85" s="345"/>
      <c r="E85" s="345">
        <f t="shared" si="39"/>
        <v>0</v>
      </c>
      <c r="F85" s="345">
        <f t="shared" si="30"/>
        <v>1.22</v>
      </c>
      <c r="G85" s="345">
        <f t="shared" si="40"/>
        <v>1.32</v>
      </c>
      <c r="H85" s="345">
        <f t="shared" si="41"/>
        <v>0</v>
      </c>
      <c r="I85" s="345">
        <f t="shared" si="38"/>
        <v>0</v>
      </c>
      <c r="J85" s="346">
        <f t="shared" si="42"/>
        <v>0</v>
      </c>
      <c r="K85" s="345">
        <f t="shared" si="43"/>
        <v>0</v>
      </c>
      <c r="L85" s="345">
        <f t="shared" si="44"/>
        <v>0</v>
      </c>
      <c r="M85" s="345">
        <f t="shared" si="45"/>
        <v>0</v>
      </c>
      <c r="N85" s="345">
        <f t="shared" si="46"/>
        <v>0</v>
      </c>
      <c r="O85" s="345">
        <f t="shared" si="47"/>
        <v>0</v>
      </c>
      <c r="P85" s="345">
        <f t="shared" si="48"/>
        <v>0</v>
      </c>
      <c r="Q85" s="433">
        <f t="shared" si="49"/>
        <v>0</v>
      </c>
      <c r="R85" s="347"/>
      <c r="S85" s="354">
        <f>'PLANILHA GERAL'!$J$60</f>
        <v>305.42</v>
      </c>
      <c r="T85" s="354">
        <f>'PLANILHA GERAL'!$J$61</f>
        <v>13.75</v>
      </c>
      <c r="U85" s="354">
        <f>'PLANILHA GERAL'!$J$62</f>
        <v>8.0399999999999991</v>
      </c>
      <c r="V85" s="354">
        <f>'PLANILHA GERAL'!$J$63</f>
        <v>3.45</v>
      </c>
      <c r="W85" s="354">
        <f>'PLANILHA GERAL'!$J$64</f>
        <v>7.35</v>
      </c>
      <c r="X85" s="354">
        <f>'PLANILHA GERAL'!$J$65</f>
        <v>60.59</v>
      </c>
      <c r="Y85" s="354">
        <f>'PLANILHA GERAL'!$J$66</f>
        <v>219.78</v>
      </c>
      <c r="Z85" s="354">
        <f>'PLANILHA GERAL'!$J$67</f>
        <v>22.08</v>
      </c>
      <c r="AA85" s="354">
        <f>'PLANILHA GERAL'!$J$68</f>
        <v>51.71</v>
      </c>
      <c r="AB85" s="354">
        <f>'PLANILHA GERAL'!$J$69</f>
        <v>70.59</v>
      </c>
      <c r="AC85" s="348">
        <f t="shared" si="50"/>
        <v>0</v>
      </c>
    </row>
    <row r="86" spans="1:29" s="331" customFormat="1" ht="30.75" hidden="1">
      <c r="A86" s="342">
        <f>DADOS!A35</f>
        <v>0</v>
      </c>
      <c r="B86" s="343">
        <f>DADOS!B35</f>
        <v>0</v>
      </c>
      <c r="C86" s="349">
        <v>1</v>
      </c>
      <c r="D86" s="345"/>
      <c r="E86" s="345">
        <f t="shared" si="39"/>
        <v>0</v>
      </c>
      <c r="F86" s="345">
        <f t="shared" si="30"/>
        <v>1.22</v>
      </c>
      <c r="G86" s="345">
        <f t="shared" si="40"/>
        <v>1.32</v>
      </c>
      <c r="H86" s="345">
        <f t="shared" si="41"/>
        <v>0</v>
      </c>
      <c r="I86" s="345">
        <f t="shared" si="38"/>
        <v>0</v>
      </c>
      <c r="J86" s="346">
        <f t="shared" si="42"/>
        <v>0</v>
      </c>
      <c r="K86" s="345">
        <f t="shared" si="43"/>
        <v>0</v>
      </c>
      <c r="L86" s="345">
        <f t="shared" si="44"/>
        <v>0</v>
      </c>
      <c r="M86" s="345">
        <f t="shared" si="45"/>
        <v>0</v>
      </c>
      <c r="N86" s="345">
        <f t="shared" si="46"/>
        <v>0</v>
      </c>
      <c r="O86" s="345">
        <f t="shared" si="47"/>
        <v>0</v>
      </c>
      <c r="P86" s="345">
        <f t="shared" si="48"/>
        <v>0</v>
      </c>
      <c r="Q86" s="433">
        <f t="shared" si="49"/>
        <v>0</v>
      </c>
      <c r="R86" s="347"/>
      <c r="S86" s="354">
        <f>'PLANILHA GERAL'!$J$60</f>
        <v>305.42</v>
      </c>
      <c r="T86" s="354">
        <f>'PLANILHA GERAL'!$J$61</f>
        <v>13.75</v>
      </c>
      <c r="U86" s="354">
        <f>'PLANILHA GERAL'!$J$62</f>
        <v>8.0399999999999991</v>
      </c>
      <c r="V86" s="354">
        <f>'PLANILHA GERAL'!$J$63</f>
        <v>3.45</v>
      </c>
      <c r="W86" s="354">
        <f>'PLANILHA GERAL'!$J$64</f>
        <v>7.35</v>
      </c>
      <c r="X86" s="354">
        <f>'PLANILHA GERAL'!$J$65</f>
        <v>60.59</v>
      </c>
      <c r="Y86" s="354">
        <f>'PLANILHA GERAL'!$J$66</f>
        <v>219.78</v>
      </c>
      <c r="Z86" s="354">
        <f>'PLANILHA GERAL'!$J$67</f>
        <v>22.08</v>
      </c>
      <c r="AA86" s="354">
        <f>'PLANILHA GERAL'!$J$68</f>
        <v>51.71</v>
      </c>
      <c r="AB86" s="354">
        <f>'PLANILHA GERAL'!$J$69</f>
        <v>70.59</v>
      </c>
      <c r="AC86" s="348">
        <f t="shared" si="50"/>
        <v>0</v>
      </c>
    </row>
    <row r="87" spans="1:29" s="331" customFormat="1" ht="30.75" hidden="1">
      <c r="A87" s="342">
        <f>DADOS!A36</f>
        <v>0</v>
      </c>
      <c r="B87" s="343">
        <f>DADOS!B36</f>
        <v>0</v>
      </c>
      <c r="C87" s="349">
        <v>1</v>
      </c>
      <c r="D87" s="345"/>
      <c r="E87" s="345">
        <f t="shared" si="39"/>
        <v>0</v>
      </c>
      <c r="F87" s="345">
        <f t="shared" si="30"/>
        <v>1.22</v>
      </c>
      <c r="G87" s="345">
        <f t="shared" si="40"/>
        <v>1.32</v>
      </c>
      <c r="H87" s="345">
        <f t="shared" si="41"/>
        <v>0</v>
      </c>
      <c r="I87" s="345">
        <f t="shared" si="38"/>
        <v>0</v>
      </c>
      <c r="J87" s="346">
        <f t="shared" si="42"/>
        <v>0</v>
      </c>
      <c r="K87" s="345">
        <f t="shared" si="43"/>
        <v>0</v>
      </c>
      <c r="L87" s="345">
        <f t="shared" si="44"/>
        <v>0</v>
      </c>
      <c r="M87" s="345">
        <f t="shared" si="45"/>
        <v>0</v>
      </c>
      <c r="N87" s="345">
        <f t="shared" si="46"/>
        <v>0</v>
      </c>
      <c r="O87" s="345">
        <f t="shared" si="47"/>
        <v>0</v>
      </c>
      <c r="P87" s="345">
        <f t="shared" si="48"/>
        <v>0</v>
      </c>
      <c r="Q87" s="433">
        <f t="shared" si="49"/>
        <v>0</v>
      </c>
      <c r="R87" s="347"/>
      <c r="S87" s="354">
        <f>'PLANILHA GERAL'!$J$60</f>
        <v>305.42</v>
      </c>
      <c r="T87" s="354">
        <f>'PLANILHA GERAL'!$J$61</f>
        <v>13.75</v>
      </c>
      <c r="U87" s="354">
        <f>'PLANILHA GERAL'!$J$62</f>
        <v>8.0399999999999991</v>
      </c>
      <c r="V87" s="354">
        <f>'PLANILHA GERAL'!$J$63</f>
        <v>3.45</v>
      </c>
      <c r="W87" s="354">
        <f>'PLANILHA GERAL'!$J$64</f>
        <v>7.35</v>
      </c>
      <c r="X87" s="354">
        <f>'PLANILHA GERAL'!$J$65</f>
        <v>60.59</v>
      </c>
      <c r="Y87" s="354">
        <f>'PLANILHA GERAL'!$J$66</f>
        <v>219.78</v>
      </c>
      <c r="Z87" s="354">
        <f>'PLANILHA GERAL'!$J$67</f>
        <v>22.08</v>
      </c>
      <c r="AA87" s="354">
        <f>'PLANILHA GERAL'!$J$68</f>
        <v>51.71</v>
      </c>
      <c r="AB87" s="354">
        <f>'PLANILHA GERAL'!$J$69</f>
        <v>70.59</v>
      </c>
      <c r="AC87" s="348">
        <f t="shared" si="50"/>
        <v>0</v>
      </c>
    </row>
    <row r="88" spans="1:29" s="331" customFormat="1" ht="30.75" hidden="1">
      <c r="A88" s="342">
        <f>DADOS!A37</f>
        <v>0</v>
      </c>
      <c r="B88" s="343">
        <f>DADOS!B37</f>
        <v>0</v>
      </c>
      <c r="C88" s="349">
        <v>1</v>
      </c>
      <c r="D88" s="345"/>
      <c r="E88" s="345">
        <f t="shared" si="39"/>
        <v>0</v>
      </c>
      <c r="F88" s="345">
        <f t="shared" si="30"/>
        <v>1.22</v>
      </c>
      <c r="G88" s="345">
        <f t="shared" si="40"/>
        <v>1.32</v>
      </c>
      <c r="H88" s="345">
        <f t="shared" si="41"/>
        <v>0</v>
      </c>
      <c r="I88" s="345">
        <f t="shared" si="38"/>
        <v>0</v>
      </c>
      <c r="J88" s="346">
        <f t="shared" si="42"/>
        <v>0</v>
      </c>
      <c r="K88" s="345">
        <f t="shared" si="43"/>
        <v>0</v>
      </c>
      <c r="L88" s="345">
        <f t="shared" si="44"/>
        <v>0</v>
      </c>
      <c r="M88" s="345">
        <f t="shared" si="45"/>
        <v>0</v>
      </c>
      <c r="N88" s="345">
        <f t="shared" si="46"/>
        <v>0</v>
      </c>
      <c r="O88" s="345">
        <f t="shared" si="47"/>
        <v>0</v>
      </c>
      <c r="P88" s="345">
        <f t="shared" si="48"/>
        <v>0</v>
      </c>
      <c r="Q88" s="433">
        <f t="shared" si="49"/>
        <v>0</v>
      </c>
      <c r="R88" s="347"/>
      <c r="S88" s="354">
        <f>'PLANILHA GERAL'!$J$60</f>
        <v>305.42</v>
      </c>
      <c r="T88" s="354">
        <f>'PLANILHA GERAL'!$J$61</f>
        <v>13.75</v>
      </c>
      <c r="U88" s="354">
        <f>'PLANILHA GERAL'!$J$62</f>
        <v>8.0399999999999991</v>
      </c>
      <c r="V88" s="354">
        <f>'PLANILHA GERAL'!$J$63</f>
        <v>3.45</v>
      </c>
      <c r="W88" s="354">
        <f>'PLANILHA GERAL'!$J$64</f>
        <v>7.35</v>
      </c>
      <c r="X88" s="354">
        <f>'PLANILHA GERAL'!$J$65</f>
        <v>60.59</v>
      </c>
      <c r="Y88" s="354">
        <f>'PLANILHA GERAL'!$J$66</f>
        <v>219.78</v>
      </c>
      <c r="Z88" s="354">
        <f>'PLANILHA GERAL'!$J$67</f>
        <v>22.08</v>
      </c>
      <c r="AA88" s="354">
        <f>'PLANILHA GERAL'!$J$68</f>
        <v>51.71</v>
      </c>
      <c r="AB88" s="354">
        <f>'PLANILHA GERAL'!$J$69</f>
        <v>70.59</v>
      </c>
      <c r="AC88" s="348">
        <f t="shared" si="50"/>
        <v>0</v>
      </c>
    </row>
    <row r="89" spans="1:29" s="331" customFormat="1" ht="30.75" hidden="1">
      <c r="A89" s="342">
        <f>DADOS!A38</f>
        <v>0</v>
      </c>
      <c r="B89" s="343">
        <f>DADOS!B38</f>
        <v>0</v>
      </c>
      <c r="C89" s="349">
        <v>1</v>
      </c>
      <c r="D89" s="345"/>
      <c r="E89" s="345">
        <f t="shared" si="39"/>
        <v>0</v>
      </c>
      <c r="F89" s="345">
        <f t="shared" si="30"/>
        <v>1.22</v>
      </c>
      <c r="G89" s="345">
        <f t="shared" si="40"/>
        <v>1.32</v>
      </c>
      <c r="H89" s="345">
        <f t="shared" si="41"/>
        <v>0</v>
      </c>
      <c r="I89" s="345">
        <f t="shared" si="38"/>
        <v>0</v>
      </c>
      <c r="J89" s="346">
        <f t="shared" si="42"/>
        <v>0</v>
      </c>
      <c r="K89" s="345">
        <f t="shared" si="43"/>
        <v>0</v>
      </c>
      <c r="L89" s="345">
        <f t="shared" si="44"/>
        <v>0</v>
      </c>
      <c r="M89" s="345">
        <f t="shared" si="45"/>
        <v>0</v>
      </c>
      <c r="N89" s="345">
        <f t="shared" si="46"/>
        <v>0</v>
      </c>
      <c r="O89" s="345">
        <f t="shared" si="47"/>
        <v>0</v>
      </c>
      <c r="P89" s="345">
        <f t="shared" si="48"/>
        <v>0</v>
      </c>
      <c r="Q89" s="433">
        <f t="shared" si="49"/>
        <v>0</v>
      </c>
      <c r="R89" s="347"/>
      <c r="S89" s="354">
        <f>'PLANILHA GERAL'!$J$60</f>
        <v>305.42</v>
      </c>
      <c r="T89" s="354">
        <f>'PLANILHA GERAL'!$J$61</f>
        <v>13.75</v>
      </c>
      <c r="U89" s="354">
        <f>'PLANILHA GERAL'!$J$62</f>
        <v>8.0399999999999991</v>
      </c>
      <c r="V89" s="354">
        <f>'PLANILHA GERAL'!$J$63</f>
        <v>3.45</v>
      </c>
      <c r="W89" s="354">
        <f>'PLANILHA GERAL'!$J$64</f>
        <v>7.35</v>
      </c>
      <c r="X89" s="354">
        <f>'PLANILHA GERAL'!$J$65</f>
        <v>60.59</v>
      </c>
      <c r="Y89" s="354">
        <f>'PLANILHA GERAL'!$J$66</f>
        <v>219.78</v>
      </c>
      <c r="Z89" s="354">
        <f>'PLANILHA GERAL'!$J$67</f>
        <v>22.08</v>
      </c>
      <c r="AA89" s="354">
        <f>'PLANILHA GERAL'!$J$68</f>
        <v>51.71</v>
      </c>
      <c r="AB89" s="354">
        <f>'PLANILHA GERAL'!$J$69</f>
        <v>70.59</v>
      </c>
      <c r="AC89" s="348">
        <f t="shared" si="50"/>
        <v>0</v>
      </c>
    </row>
    <row r="90" spans="1:29" s="331" customFormat="1" ht="30.75" hidden="1">
      <c r="A90" s="342">
        <f>DADOS!A39</f>
        <v>0</v>
      </c>
      <c r="B90" s="343">
        <f>DADOS!B39</f>
        <v>0</v>
      </c>
      <c r="C90" s="349">
        <v>1</v>
      </c>
      <c r="D90" s="345"/>
      <c r="E90" s="345">
        <f t="shared" si="39"/>
        <v>0</v>
      </c>
      <c r="F90" s="345">
        <f t="shared" si="30"/>
        <v>1.22</v>
      </c>
      <c r="G90" s="345">
        <f t="shared" si="40"/>
        <v>1.32</v>
      </c>
      <c r="H90" s="345">
        <f t="shared" si="41"/>
        <v>0</v>
      </c>
      <c r="I90" s="345">
        <f t="shared" si="38"/>
        <v>0</v>
      </c>
      <c r="J90" s="346">
        <f t="shared" si="42"/>
        <v>0</v>
      </c>
      <c r="K90" s="345">
        <f t="shared" si="43"/>
        <v>0</v>
      </c>
      <c r="L90" s="345">
        <f t="shared" si="44"/>
        <v>0</v>
      </c>
      <c r="M90" s="345">
        <f t="shared" si="45"/>
        <v>0</v>
      </c>
      <c r="N90" s="345">
        <f t="shared" si="46"/>
        <v>0</v>
      </c>
      <c r="O90" s="345">
        <f t="shared" si="47"/>
        <v>0</v>
      </c>
      <c r="P90" s="345">
        <f t="shared" si="48"/>
        <v>0</v>
      </c>
      <c r="Q90" s="433">
        <f t="shared" si="49"/>
        <v>0</v>
      </c>
      <c r="R90" s="347"/>
      <c r="S90" s="354">
        <f>'PLANILHA GERAL'!$J$60</f>
        <v>305.42</v>
      </c>
      <c r="T90" s="354">
        <f>'PLANILHA GERAL'!$J$61</f>
        <v>13.75</v>
      </c>
      <c r="U90" s="354">
        <f>'PLANILHA GERAL'!$J$62</f>
        <v>8.0399999999999991</v>
      </c>
      <c r="V90" s="354">
        <f>'PLANILHA GERAL'!$J$63</f>
        <v>3.45</v>
      </c>
      <c r="W90" s="354">
        <f>'PLANILHA GERAL'!$J$64</f>
        <v>7.35</v>
      </c>
      <c r="X90" s="354">
        <f>'PLANILHA GERAL'!$J$65</f>
        <v>60.59</v>
      </c>
      <c r="Y90" s="354">
        <f>'PLANILHA GERAL'!$J$66</f>
        <v>219.78</v>
      </c>
      <c r="Z90" s="354">
        <f>'PLANILHA GERAL'!$J$67</f>
        <v>22.08</v>
      </c>
      <c r="AA90" s="354">
        <f>'PLANILHA GERAL'!$J$68</f>
        <v>51.71</v>
      </c>
      <c r="AB90" s="354">
        <f>'PLANILHA GERAL'!$J$69</f>
        <v>70.59</v>
      </c>
      <c r="AC90" s="348">
        <f t="shared" si="50"/>
        <v>0</v>
      </c>
    </row>
    <row r="91" spans="1:29" s="331" customFormat="1" ht="30.75" hidden="1">
      <c r="A91" s="342">
        <f>DADOS!A40</f>
        <v>0</v>
      </c>
      <c r="B91" s="343">
        <f>DADOS!B40</f>
        <v>0</v>
      </c>
      <c r="C91" s="349">
        <v>1</v>
      </c>
      <c r="D91" s="345"/>
      <c r="E91" s="345">
        <f t="shared" si="39"/>
        <v>0</v>
      </c>
      <c r="F91" s="345">
        <f t="shared" si="30"/>
        <v>1.22</v>
      </c>
      <c r="G91" s="345">
        <f t="shared" si="40"/>
        <v>1.32</v>
      </c>
      <c r="H91" s="345">
        <f t="shared" si="41"/>
        <v>0</v>
      </c>
      <c r="I91" s="345">
        <f t="shared" si="38"/>
        <v>0</v>
      </c>
      <c r="J91" s="346">
        <f t="shared" si="42"/>
        <v>0</v>
      </c>
      <c r="K91" s="345">
        <f t="shared" si="43"/>
        <v>0</v>
      </c>
      <c r="L91" s="345">
        <f t="shared" si="44"/>
        <v>0</v>
      </c>
      <c r="M91" s="345">
        <f t="shared" si="45"/>
        <v>0</v>
      </c>
      <c r="N91" s="345">
        <f t="shared" si="46"/>
        <v>0</v>
      </c>
      <c r="O91" s="345">
        <f t="shared" si="47"/>
        <v>0</v>
      </c>
      <c r="P91" s="345">
        <f t="shared" si="48"/>
        <v>0</v>
      </c>
      <c r="Q91" s="433">
        <f t="shared" si="49"/>
        <v>0</v>
      </c>
      <c r="R91" s="347"/>
      <c r="S91" s="354">
        <f>'PLANILHA GERAL'!$J$60</f>
        <v>305.42</v>
      </c>
      <c r="T91" s="354">
        <f>'PLANILHA GERAL'!$J$61</f>
        <v>13.75</v>
      </c>
      <c r="U91" s="354">
        <f>'PLANILHA GERAL'!$J$62</f>
        <v>8.0399999999999991</v>
      </c>
      <c r="V91" s="354">
        <f>'PLANILHA GERAL'!$J$63</f>
        <v>3.45</v>
      </c>
      <c r="W91" s="354">
        <f>'PLANILHA GERAL'!$J$64</f>
        <v>7.35</v>
      </c>
      <c r="X91" s="354">
        <f>'PLANILHA GERAL'!$J$65</f>
        <v>60.59</v>
      </c>
      <c r="Y91" s="354">
        <f>'PLANILHA GERAL'!$J$66</f>
        <v>219.78</v>
      </c>
      <c r="Z91" s="354">
        <f>'PLANILHA GERAL'!$J$67</f>
        <v>22.08</v>
      </c>
      <c r="AA91" s="354">
        <f>'PLANILHA GERAL'!$J$68</f>
        <v>51.71</v>
      </c>
      <c r="AB91" s="354">
        <f>'PLANILHA GERAL'!$J$69</f>
        <v>70.59</v>
      </c>
      <c r="AC91" s="348">
        <f t="shared" si="50"/>
        <v>0</v>
      </c>
    </row>
    <row r="92" spans="1:29" s="331" customFormat="1" ht="30.75" hidden="1">
      <c r="A92" s="342">
        <f>DADOS!A41</f>
        <v>0</v>
      </c>
      <c r="B92" s="343">
        <f>DADOS!B41</f>
        <v>0</v>
      </c>
      <c r="C92" s="349">
        <v>1</v>
      </c>
      <c r="D92" s="345"/>
      <c r="E92" s="345">
        <f t="shared" si="39"/>
        <v>0</v>
      </c>
      <c r="F92" s="345">
        <f t="shared" si="30"/>
        <v>1.22</v>
      </c>
      <c r="G92" s="345">
        <f t="shared" si="40"/>
        <v>1.32</v>
      </c>
      <c r="H92" s="345">
        <f t="shared" si="41"/>
        <v>0</v>
      </c>
      <c r="I92" s="345">
        <f t="shared" si="38"/>
        <v>0</v>
      </c>
      <c r="J92" s="346">
        <f t="shared" si="42"/>
        <v>0</v>
      </c>
      <c r="K92" s="345">
        <f t="shared" si="43"/>
        <v>0</v>
      </c>
      <c r="L92" s="345">
        <f t="shared" si="44"/>
        <v>0</v>
      </c>
      <c r="M92" s="345">
        <f t="shared" si="45"/>
        <v>0</v>
      </c>
      <c r="N92" s="345">
        <f t="shared" si="46"/>
        <v>0</v>
      </c>
      <c r="O92" s="345">
        <f t="shared" si="47"/>
        <v>0</v>
      </c>
      <c r="P92" s="345">
        <f t="shared" si="48"/>
        <v>0</v>
      </c>
      <c r="Q92" s="433">
        <f t="shared" si="49"/>
        <v>0</v>
      </c>
      <c r="R92" s="347"/>
      <c r="S92" s="354">
        <f>'PLANILHA GERAL'!$J$60</f>
        <v>305.42</v>
      </c>
      <c r="T92" s="354">
        <f>'PLANILHA GERAL'!$J$61</f>
        <v>13.75</v>
      </c>
      <c r="U92" s="354">
        <f>'PLANILHA GERAL'!$J$62</f>
        <v>8.0399999999999991</v>
      </c>
      <c r="V92" s="354">
        <f>'PLANILHA GERAL'!$J$63</f>
        <v>3.45</v>
      </c>
      <c r="W92" s="354">
        <f>'PLANILHA GERAL'!$J$64</f>
        <v>7.35</v>
      </c>
      <c r="X92" s="354">
        <f>'PLANILHA GERAL'!$J$65</f>
        <v>60.59</v>
      </c>
      <c r="Y92" s="354">
        <f>'PLANILHA GERAL'!$J$66</f>
        <v>219.78</v>
      </c>
      <c r="Z92" s="354">
        <f>'PLANILHA GERAL'!$J$67</f>
        <v>22.08</v>
      </c>
      <c r="AA92" s="354">
        <f>'PLANILHA GERAL'!$J$68</f>
        <v>51.71</v>
      </c>
      <c r="AB92" s="354">
        <f>'PLANILHA GERAL'!$J$69</f>
        <v>70.59</v>
      </c>
      <c r="AC92" s="348">
        <f t="shared" si="50"/>
        <v>0</v>
      </c>
    </row>
    <row r="93" spans="1:29" s="331" customFormat="1" ht="30.75" hidden="1">
      <c r="A93" s="342">
        <f>DADOS!A42</f>
        <v>0</v>
      </c>
      <c r="B93" s="343">
        <f>DADOS!B42</f>
        <v>0</v>
      </c>
      <c r="C93" s="349">
        <v>1</v>
      </c>
      <c r="D93" s="345"/>
      <c r="E93" s="345">
        <f t="shared" si="39"/>
        <v>0</v>
      </c>
      <c r="F93" s="345">
        <f t="shared" si="30"/>
        <v>1.22</v>
      </c>
      <c r="G93" s="345">
        <f t="shared" si="40"/>
        <v>1.32</v>
      </c>
      <c r="H93" s="345">
        <f t="shared" si="41"/>
        <v>0</v>
      </c>
      <c r="I93" s="345">
        <f t="shared" si="38"/>
        <v>0</v>
      </c>
      <c r="J93" s="346">
        <f t="shared" si="42"/>
        <v>0</v>
      </c>
      <c r="K93" s="345">
        <f t="shared" si="43"/>
        <v>0</v>
      </c>
      <c r="L93" s="345">
        <f t="shared" si="44"/>
        <v>0</v>
      </c>
      <c r="M93" s="345">
        <f t="shared" si="45"/>
        <v>0</v>
      </c>
      <c r="N93" s="345">
        <f t="shared" si="46"/>
        <v>0</v>
      </c>
      <c r="O93" s="345">
        <f t="shared" si="47"/>
        <v>0</v>
      </c>
      <c r="P93" s="345">
        <f t="shared" si="48"/>
        <v>0</v>
      </c>
      <c r="Q93" s="433">
        <f t="shared" si="49"/>
        <v>0</v>
      </c>
      <c r="R93" s="347"/>
      <c r="S93" s="354">
        <f>'PLANILHA GERAL'!$J$60</f>
        <v>305.42</v>
      </c>
      <c r="T93" s="354">
        <f>'PLANILHA GERAL'!$J$61</f>
        <v>13.75</v>
      </c>
      <c r="U93" s="354">
        <f>'PLANILHA GERAL'!$J$62</f>
        <v>8.0399999999999991</v>
      </c>
      <c r="V93" s="354">
        <f>'PLANILHA GERAL'!$J$63</f>
        <v>3.45</v>
      </c>
      <c r="W93" s="354">
        <f>'PLANILHA GERAL'!$J$64</f>
        <v>7.35</v>
      </c>
      <c r="X93" s="354">
        <f>'PLANILHA GERAL'!$J$65</f>
        <v>60.59</v>
      </c>
      <c r="Y93" s="354">
        <f>'PLANILHA GERAL'!$J$66</f>
        <v>219.78</v>
      </c>
      <c r="Z93" s="354">
        <f>'PLANILHA GERAL'!$J$67</f>
        <v>22.08</v>
      </c>
      <c r="AA93" s="354">
        <f>'PLANILHA GERAL'!$J$68</f>
        <v>51.71</v>
      </c>
      <c r="AB93" s="354">
        <f>'PLANILHA GERAL'!$J$69</f>
        <v>70.59</v>
      </c>
      <c r="AC93" s="348">
        <f t="shared" si="50"/>
        <v>0</v>
      </c>
    </row>
    <row r="94" spans="1:29" s="331" customFormat="1" ht="30.75" hidden="1">
      <c r="A94" s="342">
        <f>DADOS!A43</f>
        <v>0</v>
      </c>
      <c r="B94" s="343">
        <f>DADOS!B43</f>
        <v>0</v>
      </c>
      <c r="C94" s="349">
        <v>1</v>
      </c>
      <c r="D94" s="345"/>
      <c r="E94" s="345">
        <f t="shared" si="39"/>
        <v>0</v>
      </c>
      <c r="F94" s="345">
        <f t="shared" si="30"/>
        <v>1.22</v>
      </c>
      <c r="G94" s="345">
        <f t="shared" si="40"/>
        <v>1.32</v>
      </c>
      <c r="H94" s="345">
        <f t="shared" si="41"/>
        <v>0</v>
      </c>
      <c r="I94" s="345">
        <f t="shared" si="38"/>
        <v>0</v>
      </c>
      <c r="J94" s="346">
        <f t="shared" si="42"/>
        <v>0</v>
      </c>
      <c r="K94" s="345">
        <f t="shared" si="43"/>
        <v>0</v>
      </c>
      <c r="L94" s="345">
        <f t="shared" si="44"/>
        <v>0</v>
      </c>
      <c r="M94" s="345">
        <f t="shared" si="45"/>
        <v>0</v>
      </c>
      <c r="N94" s="345">
        <f t="shared" si="46"/>
        <v>0</v>
      </c>
      <c r="O94" s="345">
        <f t="shared" si="47"/>
        <v>0</v>
      </c>
      <c r="P94" s="345">
        <f t="shared" si="48"/>
        <v>0</v>
      </c>
      <c r="Q94" s="433">
        <f t="shared" si="49"/>
        <v>0</v>
      </c>
      <c r="R94" s="347"/>
      <c r="S94" s="354">
        <f>'PLANILHA GERAL'!$J$60</f>
        <v>305.42</v>
      </c>
      <c r="T94" s="354">
        <f>'PLANILHA GERAL'!$J$61</f>
        <v>13.75</v>
      </c>
      <c r="U94" s="354">
        <f>'PLANILHA GERAL'!$J$62</f>
        <v>8.0399999999999991</v>
      </c>
      <c r="V94" s="354">
        <f>'PLANILHA GERAL'!$J$63</f>
        <v>3.45</v>
      </c>
      <c r="W94" s="354">
        <f>'PLANILHA GERAL'!$J$64</f>
        <v>7.35</v>
      </c>
      <c r="X94" s="354">
        <f>'PLANILHA GERAL'!$J$65</f>
        <v>60.59</v>
      </c>
      <c r="Y94" s="354">
        <f>'PLANILHA GERAL'!$J$66</f>
        <v>219.78</v>
      </c>
      <c r="Z94" s="354">
        <f>'PLANILHA GERAL'!$J$67</f>
        <v>22.08</v>
      </c>
      <c r="AA94" s="354">
        <f>'PLANILHA GERAL'!$J$68</f>
        <v>51.71</v>
      </c>
      <c r="AB94" s="354">
        <f>'PLANILHA GERAL'!$J$69</f>
        <v>70.59</v>
      </c>
      <c r="AC94" s="348">
        <f t="shared" si="50"/>
        <v>0</v>
      </c>
    </row>
    <row r="95" spans="1:29" s="331" customFormat="1" ht="30.75" hidden="1">
      <c r="A95" s="342">
        <f>DADOS!A44</f>
        <v>0</v>
      </c>
      <c r="B95" s="343">
        <f>DADOS!B44</f>
        <v>0</v>
      </c>
      <c r="C95" s="349">
        <v>1</v>
      </c>
      <c r="D95" s="345"/>
      <c r="E95" s="345">
        <f t="shared" si="39"/>
        <v>0</v>
      </c>
      <c r="F95" s="345">
        <f t="shared" si="30"/>
        <v>1.22</v>
      </c>
      <c r="G95" s="345">
        <f t="shared" si="40"/>
        <v>1.32</v>
      </c>
      <c r="H95" s="345">
        <f t="shared" si="41"/>
        <v>0</v>
      </c>
      <c r="I95" s="345">
        <f t="shared" si="38"/>
        <v>0</v>
      </c>
      <c r="J95" s="346">
        <f t="shared" si="42"/>
        <v>0</v>
      </c>
      <c r="K95" s="345">
        <f t="shared" si="43"/>
        <v>0</v>
      </c>
      <c r="L95" s="345">
        <f t="shared" si="44"/>
        <v>0</v>
      </c>
      <c r="M95" s="345">
        <f t="shared" si="45"/>
        <v>0</v>
      </c>
      <c r="N95" s="345">
        <f t="shared" si="46"/>
        <v>0</v>
      </c>
      <c r="O95" s="345">
        <f t="shared" si="47"/>
        <v>0</v>
      </c>
      <c r="P95" s="345">
        <f t="shared" si="48"/>
        <v>0</v>
      </c>
      <c r="Q95" s="433">
        <f t="shared" si="49"/>
        <v>0</v>
      </c>
      <c r="R95" s="347"/>
      <c r="S95" s="354">
        <f>'PLANILHA GERAL'!$J$60</f>
        <v>305.42</v>
      </c>
      <c r="T95" s="354">
        <f>'PLANILHA GERAL'!$J$61</f>
        <v>13.75</v>
      </c>
      <c r="U95" s="354">
        <f>'PLANILHA GERAL'!$J$62</f>
        <v>8.0399999999999991</v>
      </c>
      <c r="V95" s="354">
        <f>'PLANILHA GERAL'!$J$63</f>
        <v>3.45</v>
      </c>
      <c r="W95" s="354">
        <f>'PLANILHA GERAL'!$J$64</f>
        <v>7.35</v>
      </c>
      <c r="X95" s="354">
        <f>'PLANILHA GERAL'!$J$65</f>
        <v>60.59</v>
      </c>
      <c r="Y95" s="354">
        <f>'PLANILHA GERAL'!$J$66</f>
        <v>219.78</v>
      </c>
      <c r="Z95" s="354">
        <f>'PLANILHA GERAL'!$J$67</f>
        <v>22.08</v>
      </c>
      <c r="AA95" s="354">
        <f>'PLANILHA GERAL'!$J$68</f>
        <v>51.71</v>
      </c>
      <c r="AB95" s="354">
        <f>'PLANILHA GERAL'!$J$69</f>
        <v>70.59</v>
      </c>
      <c r="AC95" s="348">
        <f t="shared" si="50"/>
        <v>0</v>
      </c>
    </row>
    <row r="96" spans="1:29" s="331" customFormat="1" ht="30.75" hidden="1">
      <c r="A96" s="342">
        <f>DADOS!A45</f>
        <v>0</v>
      </c>
      <c r="B96" s="343">
        <f>DADOS!B45</f>
        <v>0</v>
      </c>
      <c r="C96" s="349">
        <v>1</v>
      </c>
      <c r="D96" s="345"/>
      <c r="E96" s="345">
        <f t="shared" si="37"/>
        <v>0</v>
      </c>
      <c r="F96" s="345">
        <f t="shared" si="30"/>
        <v>1.22</v>
      </c>
      <c r="G96" s="345">
        <f t="shared" si="31"/>
        <v>1.32</v>
      </c>
      <c r="H96" s="345">
        <f t="shared" si="24"/>
        <v>0</v>
      </c>
      <c r="I96" s="345">
        <f t="shared" si="38"/>
        <v>0</v>
      </c>
      <c r="J96" s="346">
        <f t="shared" si="33"/>
        <v>0</v>
      </c>
      <c r="K96" s="345">
        <f t="shared" si="25"/>
        <v>0</v>
      </c>
      <c r="L96" s="345">
        <f t="shared" si="34"/>
        <v>0</v>
      </c>
      <c r="M96" s="345">
        <f t="shared" si="26"/>
        <v>0</v>
      </c>
      <c r="N96" s="345">
        <f t="shared" si="35"/>
        <v>0</v>
      </c>
      <c r="O96" s="345">
        <f t="shared" si="36"/>
        <v>0</v>
      </c>
      <c r="P96" s="345">
        <f t="shared" si="27"/>
        <v>0</v>
      </c>
      <c r="Q96" s="433">
        <f t="shared" si="28"/>
        <v>0</v>
      </c>
      <c r="R96" s="347"/>
      <c r="S96" s="354">
        <f>'PLANILHA GERAL'!$J$60</f>
        <v>305.42</v>
      </c>
      <c r="T96" s="354">
        <f>'PLANILHA GERAL'!$J$61</f>
        <v>13.75</v>
      </c>
      <c r="U96" s="354">
        <f>'PLANILHA GERAL'!$J$62</f>
        <v>8.0399999999999991</v>
      </c>
      <c r="V96" s="354">
        <f>'PLANILHA GERAL'!$J$63</f>
        <v>3.45</v>
      </c>
      <c r="W96" s="354">
        <f>'PLANILHA GERAL'!$J$64</f>
        <v>7.35</v>
      </c>
      <c r="X96" s="354">
        <f>'PLANILHA GERAL'!$J$65</f>
        <v>60.59</v>
      </c>
      <c r="Y96" s="354">
        <f>'PLANILHA GERAL'!$J$66</f>
        <v>219.78</v>
      </c>
      <c r="Z96" s="354">
        <f>'PLANILHA GERAL'!$J$67</f>
        <v>22.08</v>
      </c>
      <c r="AA96" s="354">
        <f>'PLANILHA GERAL'!$J$68</f>
        <v>51.71</v>
      </c>
      <c r="AB96" s="354">
        <f>'PLANILHA GERAL'!$J$69</f>
        <v>70.59</v>
      </c>
      <c r="AC96" s="348">
        <f t="shared" si="29"/>
        <v>0</v>
      </c>
    </row>
    <row r="97" spans="1:29" s="331" customFormat="1" ht="31.5" hidden="1" thickBot="1">
      <c r="A97" s="342">
        <f>DADOS!A46</f>
        <v>0</v>
      </c>
      <c r="B97" s="343">
        <f>DADOS!B46</f>
        <v>0</v>
      </c>
      <c r="C97" s="349">
        <v>1</v>
      </c>
      <c r="D97" s="345"/>
      <c r="E97" s="345">
        <f t="shared" si="37"/>
        <v>0</v>
      </c>
      <c r="F97" s="345">
        <f t="shared" si="30"/>
        <v>1.22</v>
      </c>
      <c r="G97" s="345">
        <f t="shared" si="31"/>
        <v>1.32</v>
      </c>
      <c r="H97" s="345">
        <f t="shared" si="24"/>
        <v>0</v>
      </c>
      <c r="I97" s="345">
        <f t="shared" si="38"/>
        <v>0</v>
      </c>
      <c r="J97" s="346">
        <f t="shared" si="33"/>
        <v>0</v>
      </c>
      <c r="K97" s="345">
        <f t="shared" si="25"/>
        <v>0</v>
      </c>
      <c r="L97" s="345">
        <f t="shared" si="34"/>
        <v>0</v>
      </c>
      <c r="M97" s="345">
        <f t="shared" si="26"/>
        <v>0</v>
      </c>
      <c r="N97" s="345">
        <f t="shared" si="35"/>
        <v>0</v>
      </c>
      <c r="O97" s="345">
        <f t="shared" si="36"/>
        <v>0</v>
      </c>
      <c r="P97" s="345">
        <f t="shared" si="27"/>
        <v>0</v>
      </c>
      <c r="Q97" s="433">
        <f t="shared" si="28"/>
        <v>0</v>
      </c>
      <c r="R97" s="347"/>
      <c r="S97" s="354">
        <f>'PLANILHA GERAL'!$J$60</f>
        <v>305.42</v>
      </c>
      <c r="T97" s="354">
        <f>'PLANILHA GERAL'!$J$61</f>
        <v>13.75</v>
      </c>
      <c r="U97" s="354">
        <f>'PLANILHA GERAL'!$J$62</f>
        <v>8.0399999999999991</v>
      </c>
      <c r="V97" s="354">
        <f>'PLANILHA GERAL'!$J$63</f>
        <v>3.45</v>
      </c>
      <c r="W97" s="354">
        <f>'PLANILHA GERAL'!$J$64</f>
        <v>7.35</v>
      </c>
      <c r="X97" s="354">
        <f>'PLANILHA GERAL'!$J$65</f>
        <v>60.59</v>
      </c>
      <c r="Y97" s="354">
        <f>'PLANILHA GERAL'!$J$66</f>
        <v>219.78</v>
      </c>
      <c r="Z97" s="354">
        <f>'PLANILHA GERAL'!$J$67</f>
        <v>22.08</v>
      </c>
      <c r="AA97" s="354">
        <f>'PLANILHA GERAL'!$J$68</f>
        <v>51.71</v>
      </c>
      <c r="AB97" s="354">
        <f>'PLANILHA GERAL'!$J$69</f>
        <v>70.59</v>
      </c>
      <c r="AC97" s="348">
        <f t="shared" si="29"/>
        <v>0</v>
      </c>
    </row>
    <row r="98" spans="1:29" s="331" customFormat="1" ht="63.75" customHeight="1" thickBot="1">
      <c r="A98" s="1610" t="s">
        <v>22</v>
      </c>
      <c r="B98" s="1611"/>
      <c r="C98" s="350"/>
      <c r="D98" s="350"/>
      <c r="E98" s="350">
        <f>SUM(E63:E97)</f>
        <v>2415</v>
      </c>
      <c r="F98" s="350"/>
      <c r="G98" s="350"/>
      <c r="H98" s="350">
        <f>SUM(H63:H97)</f>
        <v>21684.77</v>
      </c>
      <c r="I98" s="350">
        <f t="shared" ref="I98:Q98" si="51">SUM(I63:I97)</f>
        <v>682.48</v>
      </c>
      <c r="J98" s="350">
        <f t="shared" si="51"/>
        <v>8531</v>
      </c>
      <c r="K98" s="350">
        <f t="shared" si="51"/>
        <v>2946.3</v>
      </c>
      <c r="L98" s="350">
        <f t="shared" si="51"/>
        <v>2946.3</v>
      </c>
      <c r="M98" s="350">
        <f t="shared" si="51"/>
        <v>682.48</v>
      </c>
      <c r="N98" s="350">
        <f t="shared" si="51"/>
        <v>14701.6</v>
      </c>
      <c r="O98" s="350">
        <f t="shared" si="51"/>
        <v>6300.69</v>
      </c>
      <c r="P98" s="350">
        <f t="shared" si="51"/>
        <v>35548.800000000003</v>
      </c>
      <c r="Q98" s="350">
        <f t="shared" si="51"/>
        <v>2415</v>
      </c>
      <c r="R98" s="351"/>
    </row>
    <row r="99" spans="1:29" s="331" customFormat="1" ht="45" customHeight="1" thickBot="1">
      <c r="A99" s="436"/>
      <c r="C99" s="355"/>
      <c r="D99" s="355"/>
      <c r="E99" s="355"/>
      <c r="F99" s="355"/>
      <c r="G99" s="355"/>
      <c r="Q99" s="435"/>
    </row>
    <row r="100" spans="1:29" s="331" customFormat="1" ht="45" customHeight="1" thickBot="1">
      <c r="A100" s="1605" t="s">
        <v>320</v>
      </c>
      <c r="B100" s="1606"/>
      <c r="C100" s="1606"/>
      <c r="D100" s="1606"/>
      <c r="E100" s="1606"/>
      <c r="F100" s="1606"/>
      <c r="G100" s="1606"/>
      <c r="H100" s="1606"/>
      <c r="I100" s="1606"/>
      <c r="J100" s="1606"/>
      <c r="K100" s="1606"/>
      <c r="L100" s="1606"/>
      <c r="M100" s="1606"/>
      <c r="N100" s="1606"/>
      <c r="O100" s="1606"/>
      <c r="P100" s="1606"/>
      <c r="Q100" s="1607"/>
      <c r="R100" s="330"/>
    </row>
    <row r="101" spans="1:29" s="331" customFormat="1" ht="45" customHeight="1">
      <c r="A101" s="1612" t="s">
        <v>6</v>
      </c>
      <c r="B101" s="1615" t="s">
        <v>322</v>
      </c>
      <c r="C101" s="1620" t="s">
        <v>498</v>
      </c>
      <c r="D101" s="1620"/>
      <c r="E101" s="1620"/>
      <c r="F101" s="1608" t="s">
        <v>465</v>
      </c>
      <c r="G101" s="1608"/>
      <c r="H101" s="1608"/>
      <c r="I101" s="1608" t="s">
        <v>466</v>
      </c>
      <c r="J101" s="1623" t="s">
        <v>469</v>
      </c>
      <c r="K101" s="1608" t="s">
        <v>314</v>
      </c>
      <c r="L101" s="1608" t="s">
        <v>316</v>
      </c>
      <c r="M101" s="1600" t="s">
        <v>315</v>
      </c>
      <c r="N101" s="1603" t="s">
        <v>467</v>
      </c>
      <c r="O101" s="1603" t="s">
        <v>532</v>
      </c>
      <c r="P101" s="1603" t="s">
        <v>468</v>
      </c>
      <c r="Q101" s="1618" t="s">
        <v>317</v>
      </c>
      <c r="R101" s="330"/>
    </row>
    <row r="102" spans="1:29" s="331" customFormat="1" ht="45" customHeight="1">
      <c r="A102" s="1613"/>
      <c r="B102" s="1616"/>
      <c r="C102" s="1621"/>
      <c r="D102" s="1621"/>
      <c r="E102" s="1621"/>
      <c r="F102" s="1609"/>
      <c r="G102" s="1609"/>
      <c r="H102" s="1609"/>
      <c r="I102" s="1609"/>
      <c r="J102" s="1624"/>
      <c r="K102" s="1609"/>
      <c r="L102" s="1609"/>
      <c r="M102" s="1601"/>
      <c r="N102" s="1604"/>
      <c r="O102" s="1604"/>
      <c r="P102" s="1622"/>
      <c r="Q102" s="1619"/>
      <c r="R102" s="330"/>
    </row>
    <row r="103" spans="1:29" s="331" customFormat="1" ht="45" customHeight="1">
      <c r="A103" s="1613"/>
      <c r="B103" s="1616"/>
      <c r="C103" s="334" t="s">
        <v>148</v>
      </c>
      <c r="D103" s="335" t="s">
        <v>329</v>
      </c>
      <c r="E103" s="334" t="s">
        <v>313</v>
      </c>
      <c r="F103" s="334" t="s">
        <v>307</v>
      </c>
      <c r="G103" s="334" t="s">
        <v>312</v>
      </c>
      <c r="H103" s="334" t="s">
        <v>22</v>
      </c>
      <c r="I103" s="1609"/>
      <c r="J103" s="1624"/>
      <c r="K103" s="1609"/>
      <c r="L103" s="1609"/>
      <c r="M103" s="1602"/>
      <c r="N103" s="334" t="s">
        <v>22</v>
      </c>
      <c r="O103" s="334" t="s">
        <v>22</v>
      </c>
      <c r="P103" s="1604"/>
      <c r="Q103" s="1619"/>
      <c r="R103" s="330"/>
    </row>
    <row r="104" spans="1:29" s="331" customFormat="1" ht="60" customHeight="1">
      <c r="A104" s="1613"/>
      <c r="B104" s="1616"/>
      <c r="C104" s="517"/>
      <c r="D104" s="517"/>
      <c r="E104" s="517" t="s">
        <v>50</v>
      </c>
      <c r="F104" s="517" t="s">
        <v>53</v>
      </c>
      <c r="G104" s="517" t="s">
        <v>14</v>
      </c>
      <c r="H104" s="517" t="s">
        <v>667</v>
      </c>
      <c r="I104" s="517" t="s">
        <v>672</v>
      </c>
      <c r="J104" s="516" t="s">
        <v>668</v>
      </c>
      <c r="K104" s="517" t="s">
        <v>669</v>
      </c>
      <c r="L104" s="517" t="s">
        <v>670</v>
      </c>
      <c r="M104" s="517" t="s">
        <v>671</v>
      </c>
      <c r="N104" s="517" t="s">
        <v>673</v>
      </c>
      <c r="O104" s="517" t="s">
        <v>674</v>
      </c>
      <c r="P104" s="517" t="s">
        <v>675</v>
      </c>
      <c r="Q104" s="515" t="s">
        <v>676</v>
      </c>
      <c r="R104" s="330"/>
      <c r="S104" s="1597" t="s">
        <v>480</v>
      </c>
      <c r="T104" s="1598"/>
      <c r="U104" s="1598"/>
      <c r="V104" s="1598"/>
      <c r="W104" s="1598"/>
      <c r="X104" s="1598"/>
      <c r="Y104" s="1598"/>
      <c r="Z104" s="1598"/>
      <c r="AA104" s="1598"/>
      <c r="AB104" s="1598"/>
      <c r="AC104" s="1599"/>
    </row>
    <row r="105" spans="1:29" s="331" customFormat="1" ht="60" customHeight="1" thickBot="1">
      <c r="A105" s="1614"/>
      <c r="B105" s="1617"/>
      <c r="C105" s="337" t="s">
        <v>311</v>
      </c>
      <c r="D105" s="337" t="s">
        <v>308</v>
      </c>
      <c r="E105" s="337" t="s">
        <v>308</v>
      </c>
      <c r="F105" s="337" t="s">
        <v>513</v>
      </c>
      <c r="G105" s="339" t="s">
        <v>677</v>
      </c>
      <c r="H105" s="337"/>
      <c r="I105" s="337"/>
      <c r="J105" s="338">
        <v>10</v>
      </c>
      <c r="K105" s="337"/>
      <c r="L105" s="337"/>
      <c r="M105" s="337"/>
      <c r="N105" s="337"/>
      <c r="O105" s="339"/>
      <c r="P105" s="339" t="s">
        <v>530</v>
      </c>
      <c r="Q105" s="432"/>
      <c r="R105" s="340"/>
      <c r="S105" s="335" t="s">
        <v>474</v>
      </c>
      <c r="T105" s="335" t="s">
        <v>475</v>
      </c>
      <c r="U105" s="335" t="s">
        <v>476</v>
      </c>
      <c r="V105" s="335" t="s">
        <v>477</v>
      </c>
      <c r="W105" s="335" t="s">
        <v>478</v>
      </c>
      <c r="X105" s="335" t="s">
        <v>323</v>
      </c>
      <c r="Y105" s="334" t="s">
        <v>467</v>
      </c>
      <c r="Z105" s="334" t="s">
        <v>532</v>
      </c>
      <c r="AA105" s="334" t="s">
        <v>468</v>
      </c>
      <c r="AB105" s="334" t="s">
        <v>317</v>
      </c>
      <c r="AC105" s="341" t="s">
        <v>22</v>
      </c>
    </row>
    <row r="106" spans="1:29" s="331" customFormat="1" ht="45" hidden="1" customHeight="1">
      <c r="A106" s="342">
        <f>DADOS!A12</f>
        <v>1</v>
      </c>
      <c r="B106" s="343"/>
      <c r="C106" s="344">
        <v>1</v>
      </c>
      <c r="D106" s="344"/>
      <c r="E106" s="344">
        <f>C106*D106</f>
        <v>0</v>
      </c>
      <c r="F106" s="345">
        <f>0.96+0.5</f>
        <v>1.46</v>
      </c>
      <c r="G106" s="345">
        <f>((0.96+0.6)+((0.96+0.6)+(E106*0.5%)))/2</f>
        <v>1.56</v>
      </c>
      <c r="H106" s="345">
        <f t="shared" ref="H106:H125" si="52">E106*F106*G106</f>
        <v>0</v>
      </c>
      <c r="I106" s="345">
        <f t="shared" ref="I106:I107" si="53">M106+N106</f>
        <v>0</v>
      </c>
      <c r="J106" s="346">
        <f>I106*1.25*$J$16</f>
        <v>0</v>
      </c>
      <c r="K106" s="345">
        <f t="shared" ref="K106:K125" si="54">E106*F106</f>
        <v>0</v>
      </c>
      <c r="L106" s="345">
        <f>K106</f>
        <v>0</v>
      </c>
      <c r="M106" s="345">
        <f t="shared" ref="M106:M125" si="55">(3.14*0.4^2)*E106</f>
        <v>0</v>
      </c>
      <c r="N106" s="345">
        <f>(H106-M106)*70%</f>
        <v>0</v>
      </c>
      <c r="O106" s="345">
        <f>(H106-M106)*30%</f>
        <v>0</v>
      </c>
      <c r="P106" s="345">
        <f t="shared" ref="P106:P125" si="56">IF(G106&gt;1.5,D106*G106*2,)</f>
        <v>0</v>
      </c>
      <c r="Q106" s="433">
        <f t="shared" ref="Q106:Q125" si="57">E106</f>
        <v>0</v>
      </c>
      <c r="R106" s="347"/>
      <c r="S106" s="341">
        <f>'PLANILHA GERAL'!$J$70</f>
        <v>490.49</v>
      </c>
      <c r="T106" s="341">
        <f>'PLANILHA GERAL'!$J$71</f>
        <v>13.75</v>
      </c>
      <c r="U106" s="341">
        <f>'PLANILHA GERAL'!$J$72</f>
        <v>8.0399999999999991</v>
      </c>
      <c r="V106" s="341">
        <f>'PLANILHA GERAL'!$J$73</f>
        <v>3.45</v>
      </c>
      <c r="W106" s="341">
        <f>'PLANILHA GERAL'!$J$74</f>
        <v>7.35</v>
      </c>
      <c r="X106" s="341">
        <f>'PLANILHA GERAL'!$J$75</f>
        <v>60.59</v>
      </c>
      <c r="Y106" s="341">
        <f>'PLANILHA GERAL'!$J$76</f>
        <v>219.78</v>
      </c>
      <c r="Z106" s="341">
        <f>'PLANILHA GERAL'!$J$77</f>
        <v>22.08</v>
      </c>
      <c r="AA106" s="341">
        <f>'PLANILHA GERAL'!$J$78</f>
        <v>51.71</v>
      </c>
      <c r="AB106" s="341">
        <f>'PLANILHA GERAL'!$J$79</f>
        <v>98.6</v>
      </c>
      <c r="AC106" s="348">
        <f t="shared" ref="AC106:AC125" si="58">(E106*S106)+(H106*T106)+(I106*U106)+(J106*V106)+(K106*W106)+(L106*X106)+(N106*Y106)+(O106*Z106)+(P106*AA106)+(Q106*AB106)</f>
        <v>0</v>
      </c>
    </row>
    <row r="107" spans="1:29" s="331" customFormat="1" ht="45" hidden="1" customHeight="1">
      <c r="A107" s="342">
        <f>DADOS!A13</f>
        <v>2</v>
      </c>
      <c r="B107" s="343"/>
      <c r="C107" s="349">
        <v>1</v>
      </c>
      <c r="D107" s="345"/>
      <c r="E107" s="345">
        <f>C107*D107</f>
        <v>0</v>
      </c>
      <c r="F107" s="345">
        <f t="shared" ref="F107:F125" si="59">0.96+0.5</f>
        <v>1.46</v>
      </c>
      <c r="G107" s="345">
        <f t="shared" ref="G107:G125" si="60">((0.96+0.6)+((0.96+0.6)+(E107*0.5%)))/2</f>
        <v>1.56</v>
      </c>
      <c r="H107" s="345">
        <f t="shared" si="52"/>
        <v>0</v>
      </c>
      <c r="I107" s="345">
        <f t="shared" si="53"/>
        <v>0</v>
      </c>
      <c r="J107" s="346">
        <f t="shared" ref="J107:J125" si="61">I107*1.25*$J$16</f>
        <v>0</v>
      </c>
      <c r="K107" s="345">
        <f t="shared" si="54"/>
        <v>0</v>
      </c>
      <c r="L107" s="345">
        <f t="shared" ref="L107:L125" si="62">K107</f>
        <v>0</v>
      </c>
      <c r="M107" s="345">
        <f t="shared" si="55"/>
        <v>0</v>
      </c>
      <c r="N107" s="345">
        <f t="shared" ref="N107:N125" si="63">(H107-M107)*70%</f>
        <v>0</v>
      </c>
      <c r="O107" s="345">
        <f t="shared" ref="O107:O125" si="64">(H107-M107)*30%</f>
        <v>0</v>
      </c>
      <c r="P107" s="345">
        <f t="shared" si="56"/>
        <v>0</v>
      </c>
      <c r="Q107" s="433">
        <f t="shared" si="57"/>
        <v>0</v>
      </c>
      <c r="R107" s="347"/>
      <c r="S107" s="341">
        <f>'PLANILHA GERAL'!$J$70</f>
        <v>490.49</v>
      </c>
      <c r="T107" s="341">
        <f>'PLANILHA GERAL'!$J$71</f>
        <v>13.75</v>
      </c>
      <c r="U107" s="341">
        <f>'PLANILHA GERAL'!$J$72</f>
        <v>8.0399999999999991</v>
      </c>
      <c r="V107" s="341">
        <f>'PLANILHA GERAL'!$J$73</f>
        <v>3.45</v>
      </c>
      <c r="W107" s="341">
        <f>'PLANILHA GERAL'!$J$74</f>
        <v>7.35</v>
      </c>
      <c r="X107" s="341">
        <f>'PLANILHA GERAL'!$J$75</f>
        <v>60.59</v>
      </c>
      <c r="Y107" s="341">
        <f>'PLANILHA GERAL'!$J$76</f>
        <v>219.78</v>
      </c>
      <c r="Z107" s="341">
        <f>'PLANILHA GERAL'!$J$77</f>
        <v>22.08</v>
      </c>
      <c r="AA107" s="341">
        <f>'PLANILHA GERAL'!$J$78</f>
        <v>51.71</v>
      </c>
      <c r="AB107" s="341">
        <f>'PLANILHA GERAL'!$J$79</f>
        <v>98.6</v>
      </c>
      <c r="AC107" s="348">
        <f t="shared" si="58"/>
        <v>0</v>
      </c>
    </row>
    <row r="108" spans="1:29" s="331" customFormat="1" ht="60" customHeight="1" thickBot="1">
      <c r="A108" s="342">
        <v>1</v>
      </c>
      <c r="B108" s="343" t="s">
        <v>1929</v>
      </c>
      <c r="C108" s="349">
        <v>3</v>
      </c>
      <c r="D108" s="345">
        <v>300</v>
      </c>
      <c r="E108" s="345">
        <f t="shared" ref="E108:E125" si="65">C108*D108</f>
        <v>900</v>
      </c>
      <c r="F108" s="345">
        <f t="shared" si="59"/>
        <v>1.46</v>
      </c>
      <c r="G108" s="345">
        <f t="shared" si="60"/>
        <v>3.81</v>
      </c>
      <c r="H108" s="345">
        <f t="shared" si="52"/>
        <v>5006.34</v>
      </c>
      <c r="I108" s="345">
        <f>M108+N108</f>
        <v>3640.09</v>
      </c>
      <c r="J108" s="346">
        <f t="shared" si="61"/>
        <v>45501.13</v>
      </c>
      <c r="K108" s="345">
        <f t="shared" si="54"/>
        <v>1314</v>
      </c>
      <c r="L108" s="345">
        <f t="shared" si="62"/>
        <v>1314</v>
      </c>
      <c r="M108" s="345">
        <f t="shared" si="55"/>
        <v>452.16</v>
      </c>
      <c r="N108" s="345">
        <f t="shared" si="63"/>
        <v>3187.93</v>
      </c>
      <c r="O108" s="345">
        <f t="shared" si="64"/>
        <v>1366.25</v>
      </c>
      <c r="P108" s="345">
        <f t="shared" si="56"/>
        <v>2286</v>
      </c>
      <c r="Q108" s="433">
        <f t="shared" si="57"/>
        <v>900</v>
      </c>
      <c r="R108" s="347"/>
      <c r="S108" s="341">
        <f>'PLANILHA GERAL'!$J$70</f>
        <v>490.49</v>
      </c>
      <c r="T108" s="341">
        <f>'PLANILHA GERAL'!$J$71</f>
        <v>13.75</v>
      </c>
      <c r="U108" s="341">
        <f>'PLANILHA GERAL'!$J$72</f>
        <v>8.0399999999999991</v>
      </c>
      <c r="V108" s="341">
        <f>'PLANILHA GERAL'!$J$73</f>
        <v>3.45</v>
      </c>
      <c r="W108" s="341">
        <f>'PLANILHA GERAL'!$J$74</f>
        <v>7.35</v>
      </c>
      <c r="X108" s="341">
        <f>'PLANILHA GERAL'!$J$75</f>
        <v>60.59</v>
      </c>
      <c r="Y108" s="341">
        <f>'PLANILHA GERAL'!$J$76</f>
        <v>219.78</v>
      </c>
      <c r="Z108" s="341">
        <f>'PLANILHA GERAL'!$J$77</f>
        <v>22.08</v>
      </c>
      <c r="AA108" s="341">
        <f>'PLANILHA GERAL'!$J$78</f>
        <v>51.71</v>
      </c>
      <c r="AB108" s="341">
        <f>'PLANILHA GERAL'!$J$79</f>
        <v>98.6</v>
      </c>
      <c r="AC108" s="348">
        <f t="shared" si="58"/>
        <v>1723555.67</v>
      </c>
    </row>
    <row r="109" spans="1:29" s="331" customFormat="1" ht="45" hidden="1" customHeight="1">
      <c r="A109" s="342">
        <f>DADOS!A15</f>
        <v>0</v>
      </c>
      <c r="B109" s="343"/>
      <c r="C109" s="349">
        <v>1</v>
      </c>
      <c r="D109" s="345"/>
      <c r="E109" s="345">
        <f t="shared" si="65"/>
        <v>0</v>
      </c>
      <c r="F109" s="345">
        <f t="shared" si="59"/>
        <v>1.46</v>
      </c>
      <c r="G109" s="345">
        <f t="shared" si="60"/>
        <v>1.56</v>
      </c>
      <c r="H109" s="345">
        <f t="shared" si="52"/>
        <v>0</v>
      </c>
      <c r="I109" s="345">
        <f t="shared" ref="I109:I125" si="66">M109+N109</f>
        <v>0</v>
      </c>
      <c r="J109" s="346">
        <f t="shared" si="61"/>
        <v>0</v>
      </c>
      <c r="K109" s="345">
        <f t="shared" si="54"/>
        <v>0</v>
      </c>
      <c r="L109" s="345">
        <f t="shared" si="62"/>
        <v>0</v>
      </c>
      <c r="M109" s="345">
        <f t="shared" si="55"/>
        <v>0</v>
      </c>
      <c r="N109" s="345">
        <f t="shared" si="63"/>
        <v>0</v>
      </c>
      <c r="O109" s="345">
        <f t="shared" si="64"/>
        <v>0</v>
      </c>
      <c r="P109" s="345">
        <f t="shared" si="56"/>
        <v>0</v>
      </c>
      <c r="Q109" s="433">
        <f t="shared" si="57"/>
        <v>0</v>
      </c>
      <c r="R109" s="347"/>
      <c r="S109" s="341">
        <f>'PLANILHA GERAL'!$J$70</f>
        <v>490.49</v>
      </c>
      <c r="T109" s="341">
        <f>'PLANILHA GERAL'!$J$71</f>
        <v>13.75</v>
      </c>
      <c r="U109" s="341">
        <f>'PLANILHA GERAL'!$J$72</f>
        <v>8.0399999999999991</v>
      </c>
      <c r="V109" s="341">
        <f>'PLANILHA GERAL'!$J$73</f>
        <v>3.45</v>
      </c>
      <c r="W109" s="341">
        <f>'PLANILHA GERAL'!$J$74</f>
        <v>7.35</v>
      </c>
      <c r="X109" s="341">
        <f>'PLANILHA GERAL'!$J$75</f>
        <v>60.59</v>
      </c>
      <c r="Y109" s="341">
        <f>'PLANILHA GERAL'!$J$76</f>
        <v>219.78</v>
      </c>
      <c r="Z109" s="341">
        <f>'PLANILHA GERAL'!$J$77</f>
        <v>22.08</v>
      </c>
      <c r="AA109" s="341">
        <f>'PLANILHA GERAL'!$J$78</f>
        <v>51.71</v>
      </c>
      <c r="AB109" s="341">
        <f>'PLANILHA GERAL'!$J$79</f>
        <v>98.6</v>
      </c>
      <c r="AC109" s="348">
        <f t="shared" si="58"/>
        <v>0</v>
      </c>
    </row>
    <row r="110" spans="1:29" s="331" customFormat="1" ht="45" hidden="1" customHeight="1">
      <c r="A110" s="342">
        <f>DADOS!A16</f>
        <v>0</v>
      </c>
      <c r="B110" s="343"/>
      <c r="C110" s="349">
        <v>1</v>
      </c>
      <c r="D110" s="345"/>
      <c r="E110" s="345">
        <f t="shared" si="65"/>
        <v>0</v>
      </c>
      <c r="F110" s="345">
        <f t="shared" si="59"/>
        <v>1.46</v>
      </c>
      <c r="G110" s="345">
        <f t="shared" si="60"/>
        <v>1.56</v>
      </c>
      <c r="H110" s="345">
        <f t="shared" si="52"/>
        <v>0</v>
      </c>
      <c r="I110" s="345">
        <f t="shared" si="66"/>
        <v>0</v>
      </c>
      <c r="J110" s="346">
        <f t="shared" si="61"/>
        <v>0</v>
      </c>
      <c r="K110" s="345">
        <f t="shared" si="54"/>
        <v>0</v>
      </c>
      <c r="L110" s="345">
        <f t="shared" si="62"/>
        <v>0</v>
      </c>
      <c r="M110" s="345">
        <f t="shared" si="55"/>
        <v>0</v>
      </c>
      <c r="N110" s="345">
        <f t="shared" si="63"/>
        <v>0</v>
      </c>
      <c r="O110" s="345">
        <f t="shared" si="64"/>
        <v>0</v>
      </c>
      <c r="P110" s="345">
        <f t="shared" si="56"/>
        <v>0</v>
      </c>
      <c r="Q110" s="433">
        <f t="shared" si="57"/>
        <v>0</v>
      </c>
      <c r="R110" s="347"/>
      <c r="S110" s="341">
        <f>'PLANILHA GERAL'!$J$70</f>
        <v>490.49</v>
      </c>
      <c r="T110" s="341">
        <f>'PLANILHA GERAL'!$J$71</f>
        <v>13.75</v>
      </c>
      <c r="U110" s="341">
        <f>'PLANILHA GERAL'!$J$72</f>
        <v>8.0399999999999991</v>
      </c>
      <c r="V110" s="341">
        <f>'PLANILHA GERAL'!$J$73</f>
        <v>3.45</v>
      </c>
      <c r="W110" s="341">
        <f>'PLANILHA GERAL'!$J$74</f>
        <v>7.35</v>
      </c>
      <c r="X110" s="341">
        <f>'PLANILHA GERAL'!$J$75</f>
        <v>60.59</v>
      </c>
      <c r="Y110" s="341">
        <f>'PLANILHA GERAL'!$J$76</f>
        <v>219.78</v>
      </c>
      <c r="Z110" s="341">
        <f>'PLANILHA GERAL'!$J$77</f>
        <v>22.08</v>
      </c>
      <c r="AA110" s="341">
        <f>'PLANILHA GERAL'!$J$78</f>
        <v>51.71</v>
      </c>
      <c r="AB110" s="341">
        <f>'PLANILHA GERAL'!$J$79</f>
        <v>98.6</v>
      </c>
      <c r="AC110" s="348">
        <f t="shared" si="58"/>
        <v>0</v>
      </c>
    </row>
    <row r="111" spans="1:29" s="331" customFormat="1" ht="45" hidden="1" customHeight="1">
      <c r="A111" s="342">
        <f>DADOS!A17</f>
        <v>0</v>
      </c>
      <c r="B111" s="343"/>
      <c r="C111" s="349">
        <v>1</v>
      </c>
      <c r="D111" s="345"/>
      <c r="E111" s="345">
        <f t="shared" si="65"/>
        <v>0</v>
      </c>
      <c r="F111" s="345">
        <f t="shared" si="59"/>
        <v>1.46</v>
      </c>
      <c r="G111" s="345">
        <f t="shared" si="60"/>
        <v>1.56</v>
      </c>
      <c r="H111" s="345">
        <f t="shared" si="52"/>
        <v>0</v>
      </c>
      <c r="I111" s="345">
        <f t="shared" si="66"/>
        <v>0</v>
      </c>
      <c r="J111" s="346">
        <f t="shared" si="61"/>
        <v>0</v>
      </c>
      <c r="K111" s="345">
        <f t="shared" si="54"/>
        <v>0</v>
      </c>
      <c r="L111" s="345">
        <f t="shared" si="62"/>
        <v>0</v>
      </c>
      <c r="M111" s="345">
        <f t="shared" si="55"/>
        <v>0</v>
      </c>
      <c r="N111" s="345">
        <f t="shared" si="63"/>
        <v>0</v>
      </c>
      <c r="O111" s="345">
        <f t="shared" si="64"/>
        <v>0</v>
      </c>
      <c r="P111" s="345">
        <f t="shared" si="56"/>
        <v>0</v>
      </c>
      <c r="Q111" s="433">
        <f t="shared" si="57"/>
        <v>0</v>
      </c>
      <c r="R111" s="347"/>
      <c r="S111" s="341">
        <f>'PLANILHA GERAL'!$J$70</f>
        <v>490.49</v>
      </c>
      <c r="T111" s="341">
        <f>'PLANILHA GERAL'!$J$71</f>
        <v>13.75</v>
      </c>
      <c r="U111" s="341">
        <f>'PLANILHA GERAL'!$J$72</f>
        <v>8.0399999999999991</v>
      </c>
      <c r="V111" s="341">
        <f>'PLANILHA GERAL'!$J$73</f>
        <v>3.45</v>
      </c>
      <c r="W111" s="341">
        <f>'PLANILHA GERAL'!$J$74</f>
        <v>7.35</v>
      </c>
      <c r="X111" s="341">
        <f>'PLANILHA GERAL'!$J$75</f>
        <v>60.59</v>
      </c>
      <c r="Y111" s="341">
        <f>'PLANILHA GERAL'!$J$76</f>
        <v>219.78</v>
      </c>
      <c r="Z111" s="341">
        <f>'PLANILHA GERAL'!$J$77</f>
        <v>22.08</v>
      </c>
      <c r="AA111" s="341">
        <f>'PLANILHA GERAL'!$J$78</f>
        <v>51.71</v>
      </c>
      <c r="AB111" s="341">
        <f>'PLANILHA GERAL'!$J$79</f>
        <v>98.6</v>
      </c>
      <c r="AC111" s="348">
        <f t="shared" si="58"/>
        <v>0</v>
      </c>
    </row>
    <row r="112" spans="1:29" s="331" customFormat="1" ht="45" hidden="1" customHeight="1">
      <c r="A112" s="342">
        <f>DADOS!A18</f>
        <v>0</v>
      </c>
      <c r="B112" s="343"/>
      <c r="C112" s="349">
        <v>1</v>
      </c>
      <c r="D112" s="345"/>
      <c r="E112" s="345">
        <f t="shared" si="65"/>
        <v>0</v>
      </c>
      <c r="F112" s="345">
        <f t="shared" si="59"/>
        <v>1.46</v>
      </c>
      <c r="G112" s="345">
        <f t="shared" si="60"/>
        <v>1.56</v>
      </c>
      <c r="H112" s="345">
        <f t="shared" si="52"/>
        <v>0</v>
      </c>
      <c r="I112" s="345">
        <f t="shared" si="66"/>
        <v>0</v>
      </c>
      <c r="J112" s="346">
        <f t="shared" si="61"/>
        <v>0</v>
      </c>
      <c r="K112" s="345">
        <f t="shared" si="54"/>
        <v>0</v>
      </c>
      <c r="L112" s="345">
        <f t="shared" si="62"/>
        <v>0</v>
      </c>
      <c r="M112" s="345">
        <f t="shared" si="55"/>
        <v>0</v>
      </c>
      <c r="N112" s="345">
        <f t="shared" si="63"/>
        <v>0</v>
      </c>
      <c r="O112" s="345">
        <f t="shared" si="64"/>
        <v>0</v>
      </c>
      <c r="P112" s="345">
        <f t="shared" si="56"/>
        <v>0</v>
      </c>
      <c r="Q112" s="433">
        <f t="shared" si="57"/>
        <v>0</v>
      </c>
      <c r="R112" s="347"/>
      <c r="S112" s="341">
        <f>'PLANILHA GERAL'!$J$70</f>
        <v>490.49</v>
      </c>
      <c r="T112" s="341">
        <f>'PLANILHA GERAL'!$J$71</f>
        <v>13.75</v>
      </c>
      <c r="U112" s="341">
        <f>'PLANILHA GERAL'!$J$72</f>
        <v>8.0399999999999991</v>
      </c>
      <c r="V112" s="341">
        <f>'PLANILHA GERAL'!$J$73</f>
        <v>3.45</v>
      </c>
      <c r="W112" s="341">
        <f>'PLANILHA GERAL'!$J$74</f>
        <v>7.35</v>
      </c>
      <c r="X112" s="341">
        <f>'PLANILHA GERAL'!$J$75</f>
        <v>60.59</v>
      </c>
      <c r="Y112" s="341">
        <f>'PLANILHA GERAL'!$J$76</f>
        <v>219.78</v>
      </c>
      <c r="Z112" s="341">
        <f>'PLANILHA GERAL'!$J$77</f>
        <v>22.08</v>
      </c>
      <c r="AA112" s="341">
        <f>'PLANILHA GERAL'!$J$78</f>
        <v>51.71</v>
      </c>
      <c r="AB112" s="341">
        <f>'PLANILHA GERAL'!$J$79</f>
        <v>98.6</v>
      </c>
      <c r="AC112" s="348">
        <f t="shared" si="58"/>
        <v>0</v>
      </c>
    </row>
    <row r="113" spans="1:29" s="331" customFormat="1" ht="45" hidden="1" customHeight="1">
      <c r="A113" s="342">
        <f>DADOS!A20</f>
        <v>0</v>
      </c>
      <c r="B113" s="343"/>
      <c r="C113" s="349">
        <v>1</v>
      </c>
      <c r="D113" s="345"/>
      <c r="E113" s="345">
        <f t="shared" si="65"/>
        <v>0</v>
      </c>
      <c r="F113" s="345">
        <f t="shared" si="59"/>
        <v>1.46</v>
      </c>
      <c r="G113" s="345">
        <f t="shared" si="60"/>
        <v>1.56</v>
      </c>
      <c r="H113" s="345">
        <f t="shared" si="52"/>
        <v>0</v>
      </c>
      <c r="I113" s="345">
        <f t="shared" si="66"/>
        <v>0</v>
      </c>
      <c r="J113" s="346">
        <f t="shared" si="61"/>
        <v>0</v>
      </c>
      <c r="K113" s="345">
        <f t="shared" si="54"/>
        <v>0</v>
      </c>
      <c r="L113" s="345">
        <f t="shared" si="62"/>
        <v>0</v>
      </c>
      <c r="M113" s="345">
        <f t="shared" si="55"/>
        <v>0</v>
      </c>
      <c r="N113" s="345">
        <f t="shared" si="63"/>
        <v>0</v>
      </c>
      <c r="O113" s="345">
        <f t="shared" si="64"/>
        <v>0</v>
      </c>
      <c r="P113" s="345">
        <f t="shared" si="56"/>
        <v>0</v>
      </c>
      <c r="Q113" s="433">
        <f t="shared" si="57"/>
        <v>0</v>
      </c>
      <c r="R113" s="347"/>
      <c r="S113" s="341">
        <f>'PLANILHA GERAL'!$J$70</f>
        <v>490.49</v>
      </c>
      <c r="T113" s="341">
        <f>'PLANILHA GERAL'!$J$71</f>
        <v>13.75</v>
      </c>
      <c r="U113" s="341">
        <f>'PLANILHA GERAL'!$J$72</f>
        <v>8.0399999999999991</v>
      </c>
      <c r="V113" s="341">
        <f>'PLANILHA GERAL'!$J$73</f>
        <v>3.45</v>
      </c>
      <c r="W113" s="341">
        <f>'PLANILHA GERAL'!$J$74</f>
        <v>7.35</v>
      </c>
      <c r="X113" s="341">
        <f>'PLANILHA GERAL'!$J$75</f>
        <v>60.59</v>
      </c>
      <c r="Y113" s="341">
        <f>'PLANILHA GERAL'!$J$76</f>
        <v>219.78</v>
      </c>
      <c r="Z113" s="341">
        <f>'PLANILHA GERAL'!$J$77</f>
        <v>22.08</v>
      </c>
      <c r="AA113" s="341">
        <f>'PLANILHA GERAL'!$J$78</f>
        <v>51.71</v>
      </c>
      <c r="AB113" s="341">
        <f>'PLANILHA GERAL'!$J$79</f>
        <v>98.6</v>
      </c>
      <c r="AC113" s="348">
        <f t="shared" si="58"/>
        <v>0</v>
      </c>
    </row>
    <row r="114" spans="1:29" s="331" customFormat="1" ht="45" hidden="1" customHeight="1">
      <c r="A114" s="342">
        <f>DADOS!A21</f>
        <v>0</v>
      </c>
      <c r="B114" s="343"/>
      <c r="C114" s="349">
        <v>1</v>
      </c>
      <c r="D114" s="345"/>
      <c r="E114" s="345">
        <f t="shared" si="65"/>
        <v>0</v>
      </c>
      <c r="F114" s="345">
        <f t="shared" si="59"/>
        <v>1.46</v>
      </c>
      <c r="G114" s="345">
        <f t="shared" si="60"/>
        <v>1.56</v>
      </c>
      <c r="H114" s="345">
        <f t="shared" si="52"/>
        <v>0</v>
      </c>
      <c r="I114" s="345">
        <f t="shared" si="66"/>
        <v>0</v>
      </c>
      <c r="J114" s="346">
        <f t="shared" si="61"/>
        <v>0</v>
      </c>
      <c r="K114" s="345">
        <f t="shared" si="54"/>
        <v>0</v>
      </c>
      <c r="L114" s="345">
        <f t="shared" si="62"/>
        <v>0</v>
      </c>
      <c r="M114" s="345">
        <f t="shared" si="55"/>
        <v>0</v>
      </c>
      <c r="N114" s="345">
        <f t="shared" si="63"/>
        <v>0</v>
      </c>
      <c r="O114" s="345">
        <f t="shared" si="64"/>
        <v>0</v>
      </c>
      <c r="P114" s="345">
        <f t="shared" si="56"/>
        <v>0</v>
      </c>
      <c r="Q114" s="433">
        <f t="shared" si="57"/>
        <v>0</v>
      </c>
      <c r="R114" s="347"/>
      <c r="S114" s="341">
        <f>'PLANILHA GERAL'!$J$70</f>
        <v>490.49</v>
      </c>
      <c r="T114" s="341">
        <f>'PLANILHA GERAL'!$J$71</f>
        <v>13.75</v>
      </c>
      <c r="U114" s="341">
        <f>'PLANILHA GERAL'!$J$72</f>
        <v>8.0399999999999991</v>
      </c>
      <c r="V114" s="341">
        <f>'PLANILHA GERAL'!$J$73</f>
        <v>3.45</v>
      </c>
      <c r="W114" s="341">
        <f>'PLANILHA GERAL'!$J$74</f>
        <v>7.35</v>
      </c>
      <c r="X114" s="341">
        <f>'PLANILHA GERAL'!$J$75</f>
        <v>60.59</v>
      </c>
      <c r="Y114" s="341">
        <f>'PLANILHA GERAL'!$J$76</f>
        <v>219.78</v>
      </c>
      <c r="Z114" s="341">
        <f>'PLANILHA GERAL'!$J$77</f>
        <v>22.08</v>
      </c>
      <c r="AA114" s="341">
        <f>'PLANILHA GERAL'!$J$78</f>
        <v>51.71</v>
      </c>
      <c r="AB114" s="341">
        <f>'PLANILHA GERAL'!$J$79</f>
        <v>98.6</v>
      </c>
      <c r="AC114" s="348">
        <f t="shared" si="58"/>
        <v>0</v>
      </c>
    </row>
    <row r="115" spans="1:29" s="331" customFormat="1" ht="45" hidden="1" customHeight="1">
      <c r="A115" s="342">
        <f>DADOS!A22</f>
        <v>0</v>
      </c>
      <c r="B115" s="343"/>
      <c r="C115" s="349">
        <v>1</v>
      </c>
      <c r="D115" s="345"/>
      <c r="E115" s="345">
        <f t="shared" si="65"/>
        <v>0</v>
      </c>
      <c r="F115" s="345">
        <f t="shared" si="59"/>
        <v>1.46</v>
      </c>
      <c r="G115" s="345">
        <f t="shared" si="60"/>
        <v>1.56</v>
      </c>
      <c r="H115" s="345">
        <f t="shared" si="52"/>
        <v>0</v>
      </c>
      <c r="I115" s="345">
        <f t="shared" si="66"/>
        <v>0</v>
      </c>
      <c r="J115" s="346">
        <f t="shared" si="61"/>
        <v>0</v>
      </c>
      <c r="K115" s="345">
        <f t="shared" si="54"/>
        <v>0</v>
      </c>
      <c r="L115" s="345">
        <f t="shared" si="62"/>
        <v>0</v>
      </c>
      <c r="M115" s="345">
        <f t="shared" si="55"/>
        <v>0</v>
      </c>
      <c r="N115" s="345">
        <f t="shared" si="63"/>
        <v>0</v>
      </c>
      <c r="O115" s="345">
        <f t="shared" si="64"/>
        <v>0</v>
      </c>
      <c r="P115" s="345">
        <f t="shared" si="56"/>
        <v>0</v>
      </c>
      <c r="Q115" s="433">
        <f t="shared" si="57"/>
        <v>0</v>
      </c>
      <c r="R115" s="347"/>
      <c r="S115" s="341">
        <f>'PLANILHA GERAL'!$J$70</f>
        <v>490.49</v>
      </c>
      <c r="T115" s="341">
        <f>'PLANILHA GERAL'!$J$71</f>
        <v>13.75</v>
      </c>
      <c r="U115" s="341">
        <f>'PLANILHA GERAL'!$J$72</f>
        <v>8.0399999999999991</v>
      </c>
      <c r="V115" s="341">
        <f>'PLANILHA GERAL'!$J$73</f>
        <v>3.45</v>
      </c>
      <c r="W115" s="341">
        <f>'PLANILHA GERAL'!$J$74</f>
        <v>7.35</v>
      </c>
      <c r="X115" s="341">
        <f>'PLANILHA GERAL'!$J$75</f>
        <v>60.59</v>
      </c>
      <c r="Y115" s="341">
        <f>'PLANILHA GERAL'!$J$76</f>
        <v>219.78</v>
      </c>
      <c r="Z115" s="341">
        <f>'PLANILHA GERAL'!$J$77</f>
        <v>22.08</v>
      </c>
      <c r="AA115" s="341">
        <f>'PLANILHA GERAL'!$J$78</f>
        <v>51.71</v>
      </c>
      <c r="AB115" s="341">
        <f>'PLANILHA GERAL'!$J$79</f>
        <v>98.6</v>
      </c>
      <c r="AC115" s="348">
        <f t="shared" si="58"/>
        <v>0</v>
      </c>
    </row>
    <row r="116" spans="1:29" s="331" customFormat="1" ht="45" hidden="1" customHeight="1">
      <c r="A116" s="342">
        <f>DADOS!A23</f>
        <v>0</v>
      </c>
      <c r="B116" s="343"/>
      <c r="C116" s="349">
        <v>1</v>
      </c>
      <c r="D116" s="345"/>
      <c r="E116" s="345">
        <f t="shared" si="65"/>
        <v>0</v>
      </c>
      <c r="F116" s="345">
        <f t="shared" si="59"/>
        <v>1.46</v>
      </c>
      <c r="G116" s="345">
        <f t="shared" si="60"/>
        <v>1.56</v>
      </c>
      <c r="H116" s="345">
        <f t="shared" si="52"/>
        <v>0</v>
      </c>
      <c r="I116" s="345">
        <f t="shared" si="66"/>
        <v>0</v>
      </c>
      <c r="J116" s="346">
        <f t="shared" si="61"/>
        <v>0</v>
      </c>
      <c r="K116" s="345">
        <f t="shared" si="54"/>
        <v>0</v>
      </c>
      <c r="L116" s="345">
        <f t="shared" si="62"/>
        <v>0</v>
      </c>
      <c r="M116" s="345">
        <f t="shared" si="55"/>
        <v>0</v>
      </c>
      <c r="N116" s="345">
        <f t="shared" si="63"/>
        <v>0</v>
      </c>
      <c r="O116" s="345">
        <f t="shared" si="64"/>
        <v>0</v>
      </c>
      <c r="P116" s="345">
        <f t="shared" si="56"/>
        <v>0</v>
      </c>
      <c r="Q116" s="433">
        <f t="shared" si="57"/>
        <v>0</v>
      </c>
      <c r="R116" s="347"/>
      <c r="S116" s="341">
        <f>'PLANILHA GERAL'!$J$70</f>
        <v>490.49</v>
      </c>
      <c r="T116" s="341">
        <f>'PLANILHA GERAL'!$J$71</f>
        <v>13.75</v>
      </c>
      <c r="U116" s="341">
        <f>'PLANILHA GERAL'!$J$72</f>
        <v>8.0399999999999991</v>
      </c>
      <c r="V116" s="341">
        <f>'PLANILHA GERAL'!$J$73</f>
        <v>3.45</v>
      </c>
      <c r="W116" s="341">
        <f>'PLANILHA GERAL'!$J$74</f>
        <v>7.35</v>
      </c>
      <c r="X116" s="341">
        <f>'PLANILHA GERAL'!$J$75</f>
        <v>60.59</v>
      </c>
      <c r="Y116" s="341">
        <f>'PLANILHA GERAL'!$J$76</f>
        <v>219.78</v>
      </c>
      <c r="Z116" s="341">
        <f>'PLANILHA GERAL'!$J$77</f>
        <v>22.08</v>
      </c>
      <c r="AA116" s="341">
        <f>'PLANILHA GERAL'!$J$78</f>
        <v>51.71</v>
      </c>
      <c r="AB116" s="341">
        <f>'PLANILHA GERAL'!$J$79</f>
        <v>98.6</v>
      </c>
      <c r="AC116" s="348">
        <f t="shared" si="58"/>
        <v>0</v>
      </c>
    </row>
    <row r="117" spans="1:29" s="331" customFormat="1" ht="45" hidden="1" customHeight="1">
      <c r="A117" s="342">
        <f>DADOS!A24</f>
        <v>0</v>
      </c>
      <c r="B117" s="343">
        <f>DADOS!B24</f>
        <v>0</v>
      </c>
      <c r="C117" s="349">
        <v>1</v>
      </c>
      <c r="D117" s="345"/>
      <c r="E117" s="345">
        <f t="shared" si="65"/>
        <v>0</v>
      </c>
      <c r="F117" s="345">
        <f t="shared" si="59"/>
        <v>1.46</v>
      </c>
      <c r="G117" s="345">
        <f t="shared" si="60"/>
        <v>1.56</v>
      </c>
      <c r="H117" s="345">
        <f t="shared" si="52"/>
        <v>0</v>
      </c>
      <c r="I117" s="345">
        <f t="shared" si="66"/>
        <v>0</v>
      </c>
      <c r="J117" s="346">
        <f t="shared" si="61"/>
        <v>0</v>
      </c>
      <c r="K117" s="345">
        <f t="shared" si="54"/>
        <v>0</v>
      </c>
      <c r="L117" s="345">
        <f t="shared" si="62"/>
        <v>0</v>
      </c>
      <c r="M117" s="345">
        <f t="shared" si="55"/>
        <v>0</v>
      </c>
      <c r="N117" s="345">
        <f t="shared" si="63"/>
        <v>0</v>
      </c>
      <c r="O117" s="345">
        <f t="shared" si="64"/>
        <v>0</v>
      </c>
      <c r="P117" s="345">
        <f t="shared" si="56"/>
        <v>0</v>
      </c>
      <c r="Q117" s="433">
        <f t="shared" si="57"/>
        <v>0</v>
      </c>
      <c r="R117" s="347"/>
      <c r="S117" s="341">
        <f>'PLANILHA GERAL'!$J$70</f>
        <v>490.49</v>
      </c>
      <c r="T117" s="341">
        <f>'PLANILHA GERAL'!$J$71</f>
        <v>13.75</v>
      </c>
      <c r="U117" s="341">
        <f>'PLANILHA GERAL'!$J$72</f>
        <v>8.0399999999999991</v>
      </c>
      <c r="V117" s="341">
        <f>'PLANILHA GERAL'!$J$73</f>
        <v>3.45</v>
      </c>
      <c r="W117" s="341">
        <f>'PLANILHA GERAL'!$J$74</f>
        <v>7.35</v>
      </c>
      <c r="X117" s="341">
        <f>'PLANILHA GERAL'!$J$75</f>
        <v>60.59</v>
      </c>
      <c r="Y117" s="341">
        <f>'PLANILHA GERAL'!$J$76</f>
        <v>219.78</v>
      </c>
      <c r="Z117" s="341">
        <f>'PLANILHA GERAL'!$J$77</f>
        <v>22.08</v>
      </c>
      <c r="AA117" s="341">
        <f>'PLANILHA GERAL'!$J$78</f>
        <v>51.71</v>
      </c>
      <c r="AB117" s="341">
        <f>'PLANILHA GERAL'!$J$79</f>
        <v>98.6</v>
      </c>
      <c r="AC117" s="348">
        <f t="shared" si="58"/>
        <v>0</v>
      </c>
    </row>
    <row r="118" spans="1:29" s="331" customFormat="1" ht="45" hidden="1" customHeight="1">
      <c r="A118" s="342">
        <f>DADOS!A26</f>
        <v>0</v>
      </c>
      <c r="B118" s="343">
        <f>DADOS!B26</f>
        <v>0</v>
      </c>
      <c r="C118" s="349">
        <v>1</v>
      </c>
      <c r="D118" s="345"/>
      <c r="E118" s="345">
        <f t="shared" si="65"/>
        <v>0</v>
      </c>
      <c r="F118" s="345">
        <f t="shared" si="59"/>
        <v>1.46</v>
      </c>
      <c r="G118" s="345">
        <f t="shared" si="60"/>
        <v>1.56</v>
      </c>
      <c r="H118" s="345">
        <f t="shared" si="52"/>
        <v>0</v>
      </c>
      <c r="I118" s="345">
        <f t="shared" si="66"/>
        <v>0</v>
      </c>
      <c r="J118" s="346">
        <f t="shared" si="61"/>
        <v>0</v>
      </c>
      <c r="K118" s="345">
        <f t="shared" si="54"/>
        <v>0</v>
      </c>
      <c r="L118" s="345">
        <f t="shared" si="62"/>
        <v>0</v>
      </c>
      <c r="M118" s="345">
        <f t="shared" si="55"/>
        <v>0</v>
      </c>
      <c r="N118" s="345">
        <f t="shared" si="63"/>
        <v>0</v>
      </c>
      <c r="O118" s="345">
        <f t="shared" si="64"/>
        <v>0</v>
      </c>
      <c r="P118" s="345">
        <f t="shared" si="56"/>
        <v>0</v>
      </c>
      <c r="Q118" s="433">
        <f t="shared" si="57"/>
        <v>0</v>
      </c>
      <c r="R118" s="347"/>
      <c r="S118" s="341">
        <f>'PLANILHA GERAL'!$J$70</f>
        <v>490.49</v>
      </c>
      <c r="T118" s="341">
        <f>'PLANILHA GERAL'!$J$71</f>
        <v>13.75</v>
      </c>
      <c r="U118" s="341">
        <f>'PLANILHA GERAL'!$J$72</f>
        <v>8.0399999999999991</v>
      </c>
      <c r="V118" s="341">
        <f>'PLANILHA GERAL'!$J$73</f>
        <v>3.45</v>
      </c>
      <c r="W118" s="341">
        <f>'PLANILHA GERAL'!$J$74</f>
        <v>7.35</v>
      </c>
      <c r="X118" s="341">
        <f>'PLANILHA GERAL'!$J$75</f>
        <v>60.59</v>
      </c>
      <c r="Y118" s="341">
        <f>'PLANILHA GERAL'!$J$76</f>
        <v>219.78</v>
      </c>
      <c r="Z118" s="341">
        <f>'PLANILHA GERAL'!$J$77</f>
        <v>22.08</v>
      </c>
      <c r="AA118" s="341">
        <f>'PLANILHA GERAL'!$J$78</f>
        <v>51.71</v>
      </c>
      <c r="AB118" s="341">
        <f>'PLANILHA GERAL'!$J$79</f>
        <v>98.6</v>
      </c>
      <c r="AC118" s="348">
        <f t="shared" si="58"/>
        <v>0</v>
      </c>
    </row>
    <row r="119" spans="1:29" s="331" customFormat="1" ht="45" hidden="1" customHeight="1">
      <c r="A119" s="342">
        <f>DADOS!A27</f>
        <v>0</v>
      </c>
      <c r="B119" s="343">
        <f>DADOS!B27</f>
        <v>0</v>
      </c>
      <c r="C119" s="349">
        <v>1</v>
      </c>
      <c r="D119" s="345"/>
      <c r="E119" s="345">
        <f t="shared" si="65"/>
        <v>0</v>
      </c>
      <c r="F119" s="345">
        <f t="shared" si="59"/>
        <v>1.46</v>
      </c>
      <c r="G119" s="345">
        <f t="shared" si="60"/>
        <v>1.56</v>
      </c>
      <c r="H119" s="345">
        <f t="shared" si="52"/>
        <v>0</v>
      </c>
      <c r="I119" s="345">
        <f t="shared" si="66"/>
        <v>0</v>
      </c>
      <c r="J119" s="346">
        <f t="shared" si="61"/>
        <v>0</v>
      </c>
      <c r="K119" s="345">
        <f t="shared" si="54"/>
        <v>0</v>
      </c>
      <c r="L119" s="345">
        <f t="shared" si="62"/>
        <v>0</v>
      </c>
      <c r="M119" s="345">
        <f t="shared" si="55"/>
        <v>0</v>
      </c>
      <c r="N119" s="345">
        <f t="shared" si="63"/>
        <v>0</v>
      </c>
      <c r="O119" s="345">
        <f t="shared" si="64"/>
        <v>0</v>
      </c>
      <c r="P119" s="345">
        <f t="shared" si="56"/>
        <v>0</v>
      </c>
      <c r="Q119" s="433">
        <f t="shared" si="57"/>
        <v>0</v>
      </c>
      <c r="R119" s="347"/>
      <c r="S119" s="341">
        <f>'PLANILHA GERAL'!$J$70</f>
        <v>490.49</v>
      </c>
      <c r="T119" s="341">
        <f>'PLANILHA GERAL'!$J$71</f>
        <v>13.75</v>
      </c>
      <c r="U119" s="341">
        <f>'PLANILHA GERAL'!$J$72</f>
        <v>8.0399999999999991</v>
      </c>
      <c r="V119" s="341">
        <f>'PLANILHA GERAL'!$J$73</f>
        <v>3.45</v>
      </c>
      <c r="W119" s="341">
        <f>'PLANILHA GERAL'!$J$74</f>
        <v>7.35</v>
      </c>
      <c r="X119" s="341">
        <f>'PLANILHA GERAL'!$J$75</f>
        <v>60.59</v>
      </c>
      <c r="Y119" s="341">
        <f>'PLANILHA GERAL'!$J$76</f>
        <v>219.78</v>
      </c>
      <c r="Z119" s="341">
        <f>'PLANILHA GERAL'!$J$77</f>
        <v>22.08</v>
      </c>
      <c r="AA119" s="341">
        <f>'PLANILHA GERAL'!$J$78</f>
        <v>51.71</v>
      </c>
      <c r="AB119" s="341">
        <f>'PLANILHA GERAL'!$J$79</f>
        <v>98.6</v>
      </c>
      <c r="AC119" s="348">
        <f t="shared" si="58"/>
        <v>0</v>
      </c>
    </row>
    <row r="120" spans="1:29" s="331" customFormat="1" ht="45" hidden="1" customHeight="1">
      <c r="A120" s="342">
        <f>DADOS!A28</f>
        <v>0</v>
      </c>
      <c r="B120" s="343">
        <f>DADOS!B28</f>
        <v>0</v>
      </c>
      <c r="C120" s="349">
        <v>1</v>
      </c>
      <c r="D120" s="345"/>
      <c r="E120" s="345">
        <f t="shared" si="65"/>
        <v>0</v>
      </c>
      <c r="F120" s="345">
        <f t="shared" si="59"/>
        <v>1.46</v>
      </c>
      <c r="G120" s="345">
        <f t="shared" si="60"/>
        <v>1.56</v>
      </c>
      <c r="H120" s="345">
        <f t="shared" si="52"/>
        <v>0</v>
      </c>
      <c r="I120" s="345">
        <f t="shared" si="66"/>
        <v>0</v>
      </c>
      <c r="J120" s="346">
        <f t="shared" si="61"/>
        <v>0</v>
      </c>
      <c r="K120" s="345">
        <f t="shared" si="54"/>
        <v>0</v>
      </c>
      <c r="L120" s="345">
        <f t="shared" si="62"/>
        <v>0</v>
      </c>
      <c r="M120" s="345">
        <f t="shared" si="55"/>
        <v>0</v>
      </c>
      <c r="N120" s="345">
        <f t="shared" si="63"/>
        <v>0</v>
      </c>
      <c r="O120" s="345">
        <f t="shared" si="64"/>
        <v>0</v>
      </c>
      <c r="P120" s="345">
        <f t="shared" si="56"/>
        <v>0</v>
      </c>
      <c r="Q120" s="433">
        <f t="shared" si="57"/>
        <v>0</v>
      </c>
      <c r="R120" s="347"/>
      <c r="S120" s="341">
        <f>'PLANILHA GERAL'!$J$70</f>
        <v>490.49</v>
      </c>
      <c r="T120" s="341">
        <f>'PLANILHA GERAL'!$J$71</f>
        <v>13.75</v>
      </c>
      <c r="U120" s="341">
        <f>'PLANILHA GERAL'!$J$72</f>
        <v>8.0399999999999991</v>
      </c>
      <c r="V120" s="341">
        <f>'PLANILHA GERAL'!$J$73</f>
        <v>3.45</v>
      </c>
      <c r="W120" s="341">
        <f>'PLANILHA GERAL'!$J$74</f>
        <v>7.35</v>
      </c>
      <c r="X120" s="341">
        <f>'PLANILHA GERAL'!$J$75</f>
        <v>60.59</v>
      </c>
      <c r="Y120" s="341">
        <f>'PLANILHA GERAL'!$J$76</f>
        <v>219.78</v>
      </c>
      <c r="Z120" s="341">
        <f>'PLANILHA GERAL'!$J$77</f>
        <v>22.08</v>
      </c>
      <c r="AA120" s="341">
        <f>'PLANILHA GERAL'!$J$78</f>
        <v>51.71</v>
      </c>
      <c r="AB120" s="341">
        <f>'PLANILHA GERAL'!$J$79</f>
        <v>98.6</v>
      </c>
      <c r="AC120" s="348">
        <f t="shared" si="58"/>
        <v>0</v>
      </c>
    </row>
    <row r="121" spans="1:29" s="331" customFormat="1" ht="45" hidden="1" customHeight="1">
      <c r="A121" s="342">
        <f>DADOS!A29</f>
        <v>0</v>
      </c>
      <c r="B121" s="343">
        <f>DADOS!B29</f>
        <v>0</v>
      </c>
      <c r="C121" s="349">
        <v>1</v>
      </c>
      <c r="D121" s="345"/>
      <c r="E121" s="345">
        <f t="shared" si="65"/>
        <v>0</v>
      </c>
      <c r="F121" s="345">
        <f t="shared" si="59"/>
        <v>1.46</v>
      </c>
      <c r="G121" s="345">
        <f t="shared" si="60"/>
        <v>1.56</v>
      </c>
      <c r="H121" s="345">
        <f t="shared" si="52"/>
        <v>0</v>
      </c>
      <c r="I121" s="345">
        <f t="shared" si="66"/>
        <v>0</v>
      </c>
      <c r="J121" s="346">
        <f t="shared" si="61"/>
        <v>0</v>
      </c>
      <c r="K121" s="345">
        <f t="shared" si="54"/>
        <v>0</v>
      </c>
      <c r="L121" s="345">
        <f t="shared" si="62"/>
        <v>0</v>
      </c>
      <c r="M121" s="345">
        <f t="shared" si="55"/>
        <v>0</v>
      </c>
      <c r="N121" s="345">
        <f t="shared" si="63"/>
        <v>0</v>
      </c>
      <c r="O121" s="345">
        <f t="shared" si="64"/>
        <v>0</v>
      </c>
      <c r="P121" s="345">
        <f t="shared" si="56"/>
        <v>0</v>
      </c>
      <c r="Q121" s="433">
        <f t="shared" si="57"/>
        <v>0</v>
      </c>
      <c r="R121" s="347"/>
      <c r="S121" s="341">
        <f>'PLANILHA GERAL'!$J$70</f>
        <v>490.49</v>
      </c>
      <c r="T121" s="341">
        <f>'PLANILHA GERAL'!$J$71</f>
        <v>13.75</v>
      </c>
      <c r="U121" s="341">
        <f>'PLANILHA GERAL'!$J$72</f>
        <v>8.0399999999999991</v>
      </c>
      <c r="V121" s="341">
        <f>'PLANILHA GERAL'!$J$73</f>
        <v>3.45</v>
      </c>
      <c r="W121" s="341">
        <f>'PLANILHA GERAL'!$J$74</f>
        <v>7.35</v>
      </c>
      <c r="X121" s="341">
        <f>'PLANILHA GERAL'!$J$75</f>
        <v>60.59</v>
      </c>
      <c r="Y121" s="341">
        <f>'PLANILHA GERAL'!$J$76</f>
        <v>219.78</v>
      </c>
      <c r="Z121" s="341">
        <f>'PLANILHA GERAL'!$J$77</f>
        <v>22.08</v>
      </c>
      <c r="AA121" s="341">
        <f>'PLANILHA GERAL'!$J$78</f>
        <v>51.71</v>
      </c>
      <c r="AB121" s="341">
        <f>'PLANILHA GERAL'!$J$79</f>
        <v>98.6</v>
      </c>
      <c r="AC121" s="348">
        <f t="shared" si="58"/>
        <v>0</v>
      </c>
    </row>
    <row r="122" spans="1:29" s="331" customFormat="1" ht="45" hidden="1" customHeight="1">
      <c r="A122" s="342">
        <f>DADOS!A30</f>
        <v>0</v>
      </c>
      <c r="B122" s="343">
        <f>DADOS!B30</f>
        <v>0</v>
      </c>
      <c r="C122" s="349">
        <v>1</v>
      </c>
      <c r="D122" s="345"/>
      <c r="E122" s="345">
        <f t="shared" si="65"/>
        <v>0</v>
      </c>
      <c r="F122" s="345">
        <f t="shared" si="59"/>
        <v>1.46</v>
      </c>
      <c r="G122" s="345">
        <f t="shared" si="60"/>
        <v>1.56</v>
      </c>
      <c r="H122" s="345">
        <f t="shared" si="52"/>
        <v>0</v>
      </c>
      <c r="I122" s="345">
        <f t="shared" si="66"/>
        <v>0</v>
      </c>
      <c r="J122" s="346">
        <f t="shared" si="61"/>
        <v>0</v>
      </c>
      <c r="K122" s="345">
        <f t="shared" si="54"/>
        <v>0</v>
      </c>
      <c r="L122" s="345">
        <f t="shared" si="62"/>
        <v>0</v>
      </c>
      <c r="M122" s="345">
        <f t="shared" si="55"/>
        <v>0</v>
      </c>
      <c r="N122" s="345">
        <f t="shared" si="63"/>
        <v>0</v>
      </c>
      <c r="O122" s="345">
        <f t="shared" si="64"/>
        <v>0</v>
      </c>
      <c r="P122" s="345">
        <f t="shared" si="56"/>
        <v>0</v>
      </c>
      <c r="Q122" s="433">
        <f t="shared" si="57"/>
        <v>0</v>
      </c>
      <c r="R122" s="347"/>
      <c r="S122" s="341">
        <f>'PLANILHA GERAL'!$J$70</f>
        <v>490.49</v>
      </c>
      <c r="T122" s="341">
        <f>'PLANILHA GERAL'!$J$71</f>
        <v>13.75</v>
      </c>
      <c r="U122" s="341">
        <f>'PLANILHA GERAL'!$J$72</f>
        <v>8.0399999999999991</v>
      </c>
      <c r="V122" s="341">
        <f>'PLANILHA GERAL'!$J$73</f>
        <v>3.45</v>
      </c>
      <c r="W122" s="341">
        <f>'PLANILHA GERAL'!$J$74</f>
        <v>7.35</v>
      </c>
      <c r="X122" s="341">
        <f>'PLANILHA GERAL'!$J$75</f>
        <v>60.59</v>
      </c>
      <c r="Y122" s="341">
        <f>'PLANILHA GERAL'!$J$76</f>
        <v>219.78</v>
      </c>
      <c r="Z122" s="341">
        <f>'PLANILHA GERAL'!$J$77</f>
        <v>22.08</v>
      </c>
      <c r="AA122" s="341">
        <f>'PLANILHA GERAL'!$J$78</f>
        <v>51.71</v>
      </c>
      <c r="AB122" s="341">
        <f>'PLANILHA GERAL'!$J$79</f>
        <v>98.6</v>
      </c>
      <c r="AC122" s="348">
        <f t="shared" si="58"/>
        <v>0</v>
      </c>
    </row>
    <row r="123" spans="1:29" s="331" customFormat="1" ht="45" hidden="1" customHeight="1">
      <c r="A123" s="342"/>
      <c r="B123" s="343"/>
      <c r="C123" s="349">
        <v>1</v>
      </c>
      <c r="D123" s="345"/>
      <c r="E123" s="345">
        <f t="shared" si="65"/>
        <v>0</v>
      </c>
      <c r="F123" s="345">
        <f t="shared" si="59"/>
        <v>1.46</v>
      </c>
      <c r="G123" s="345">
        <f t="shared" si="60"/>
        <v>1.56</v>
      </c>
      <c r="H123" s="345">
        <f t="shared" si="52"/>
        <v>0</v>
      </c>
      <c r="I123" s="345">
        <f t="shared" si="66"/>
        <v>0</v>
      </c>
      <c r="J123" s="346">
        <f t="shared" si="61"/>
        <v>0</v>
      </c>
      <c r="K123" s="345">
        <f t="shared" si="54"/>
        <v>0</v>
      </c>
      <c r="L123" s="345">
        <f t="shared" si="62"/>
        <v>0</v>
      </c>
      <c r="M123" s="345">
        <f t="shared" si="55"/>
        <v>0</v>
      </c>
      <c r="N123" s="345">
        <f t="shared" si="63"/>
        <v>0</v>
      </c>
      <c r="O123" s="345">
        <f t="shared" si="64"/>
        <v>0</v>
      </c>
      <c r="P123" s="345">
        <f t="shared" si="56"/>
        <v>0</v>
      </c>
      <c r="Q123" s="433">
        <f t="shared" si="57"/>
        <v>0</v>
      </c>
      <c r="R123" s="347"/>
      <c r="S123" s="341">
        <f>'PLANILHA GERAL'!$J$70</f>
        <v>490.49</v>
      </c>
      <c r="T123" s="341">
        <f>'PLANILHA GERAL'!$J$71</f>
        <v>13.75</v>
      </c>
      <c r="U123" s="341">
        <f>'PLANILHA GERAL'!$J$72</f>
        <v>8.0399999999999991</v>
      </c>
      <c r="V123" s="341">
        <f>'PLANILHA GERAL'!$J$73</f>
        <v>3.45</v>
      </c>
      <c r="W123" s="341">
        <f>'PLANILHA GERAL'!$J$74</f>
        <v>7.35</v>
      </c>
      <c r="X123" s="341">
        <f>'PLANILHA GERAL'!$J$75</f>
        <v>60.59</v>
      </c>
      <c r="Y123" s="341">
        <f>'PLANILHA GERAL'!$J$76</f>
        <v>219.78</v>
      </c>
      <c r="Z123" s="341">
        <f>'PLANILHA GERAL'!$J$77</f>
        <v>22.08</v>
      </c>
      <c r="AA123" s="341">
        <f>'PLANILHA GERAL'!$J$78</f>
        <v>51.71</v>
      </c>
      <c r="AB123" s="341">
        <f>'PLANILHA GERAL'!$J$79</f>
        <v>98.6</v>
      </c>
      <c r="AC123" s="348">
        <f t="shared" si="58"/>
        <v>0</v>
      </c>
    </row>
    <row r="124" spans="1:29" s="331" customFormat="1" ht="45" hidden="1" customHeight="1">
      <c r="A124" s="342"/>
      <c r="B124" s="343"/>
      <c r="C124" s="349">
        <v>1</v>
      </c>
      <c r="D124" s="345"/>
      <c r="E124" s="345">
        <f t="shared" si="65"/>
        <v>0</v>
      </c>
      <c r="F124" s="345">
        <f t="shared" si="59"/>
        <v>1.46</v>
      </c>
      <c r="G124" s="345">
        <f t="shared" si="60"/>
        <v>1.56</v>
      </c>
      <c r="H124" s="345">
        <f t="shared" si="52"/>
        <v>0</v>
      </c>
      <c r="I124" s="345">
        <f t="shared" si="66"/>
        <v>0</v>
      </c>
      <c r="J124" s="346">
        <f t="shared" si="61"/>
        <v>0</v>
      </c>
      <c r="K124" s="345">
        <f t="shared" si="54"/>
        <v>0</v>
      </c>
      <c r="L124" s="345">
        <f t="shared" si="62"/>
        <v>0</v>
      </c>
      <c r="M124" s="345">
        <f t="shared" si="55"/>
        <v>0</v>
      </c>
      <c r="N124" s="345">
        <f t="shared" si="63"/>
        <v>0</v>
      </c>
      <c r="O124" s="345">
        <f t="shared" si="64"/>
        <v>0</v>
      </c>
      <c r="P124" s="345">
        <f t="shared" si="56"/>
        <v>0</v>
      </c>
      <c r="Q124" s="433">
        <f t="shared" si="57"/>
        <v>0</v>
      </c>
      <c r="R124" s="347"/>
      <c r="S124" s="341">
        <f>'PLANILHA GERAL'!$J$70</f>
        <v>490.49</v>
      </c>
      <c r="T124" s="341">
        <f>'PLANILHA GERAL'!$J$71</f>
        <v>13.75</v>
      </c>
      <c r="U124" s="341">
        <f>'PLANILHA GERAL'!$J$72</f>
        <v>8.0399999999999991</v>
      </c>
      <c r="V124" s="341">
        <f>'PLANILHA GERAL'!$J$73</f>
        <v>3.45</v>
      </c>
      <c r="W124" s="341">
        <f>'PLANILHA GERAL'!$J$74</f>
        <v>7.35</v>
      </c>
      <c r="X124" s="341">
        <f>'PLANILHA GERAL'!$J$75</f>
        <v>60.59</v>
      </c>
      <c r="Y124" s="341">
        <f>'PLANILHA GERAL'!$J$76</f>
        <v>219.78</v>
      </c>
      <c r="Z124" s="341">
        <f>'PLANILHA GERAL'!$J$77</f>
        <v>22.08</v>
      </c>
      <c r="AA124" s="341">
        <f>'PLANILHA GERAL'!$J$78</f>
        <v>51.71</v>
      </c>
      <c r="AB124" s="341">
        <f>'PLANILHA GERAL'!$J$79</f>
        <v>98.6</v>
      </c>
      <c r="AC124" s="348">
        <f t="shared" si="58"/>
        <v>0</v>
      </c>
    </row>
    <row r="125" spans="1:29" s="331" customFormat="1" ht="45" hidden="1" customHeight="1" thickBot="1">
      <c r="A125" s="342"/>
      <c r="B125" s="343"/>
      <c r="C125" s="349">
        <v>1</v>
      </c>
      <c r="D125" s="345"/>
      <c r="E125" s="345">
        <f t="shared" si="65"/>
        <v>0</v>
      </c>
      <c r="F125" s="345">
        <f t="shared" si="59"/>
        <v>1.46</v>
      </c>
      <c r="G125" s="345">
        <f t="shared" si="60"/>
        <v>1.56</v>
      </c>
      <c r="H125" s="345">
        <f t="shared" si="52"/>
        <v>0</v>
      </c>
      <c r="I125" s="345">
        <f t="shared" si="66"/>
        <v>0</v>
      </c>
      <c r="J125" s="346">
        <f t="shared" si="61"/>
        <v>0</v>
      </c>
      <c r="K125" s="345">
        <f t="shared" si="54"/>
        <v>0</v>
      </c>
      <c r="L125" s="345">
        <f t="shared" si="62"/>
        <v>0</v>
      </c>
      <c r="M125" s="345">
        <f t="shared" si="55"/>
        <v>0</v>
      </c>
      <c r="N125" s="345">
        <f t="shared" si="63"/>
        <v>0</v>
      </c>
      <c r="O125" s="345">
        <f t="shared" si="64"/>
        <v>0</v>
      </c>
      <c r="P125" s="345">
        <f t="shared" si="56"/>
        <v>0</v>
      </c>
      <c r="Q125" s="433">
        <f t="shared" si="57"/>
        <v>0</v>
      </c>
      <c r="R125" s="347"/>
      <c r="S125" s="341">
        <f>'PLANILHA GERAL'!$J$70</f>
        <v>490.49</v>
      </c>
      <c r="T125" s="341">
        <f>'PLANILHA GERAL'!$J$71</f>
        <v>13.75</v>
      </c>
      <c r="U125" s="341">
        <f>'PLANILHA GERAL'!$J$72</f>
        <v>8.0399999999999991</v>
      </c>
      <c r="V125" s="341">
        <f>'PLANILHA GERAL'!$J$73</f>
        <v>3.45</v>
      </c>
      <c r="W125" s="341">
        <f>'PLANILHA GERAL'!$J$74</f>
        <v>7.35</v>
      </c>
      <c r="X125" s="341">
        <f>'PLANILHA GERAL'!$J$75</f>
        <v>60.59</v>
      </c>
      <c r="Y125" s="341">
        <f>'PLANILHA GERAL'!$J$76</f>
        <v>219.78</v>
      </c>
      <c r="Z125" s="341">
        <f>'PLANILHA GERAL'!$J$77</f>
        <v>22.08</v>
      </c>
      <c r="AA125" s="341">
        <f>'PLANILHA GERAL'!$J$78</f>
        <v>51.71</v>
      </c>
      <c r="AB125" s="341">
        <f>'PLANILHA GERAL'!$J$79</f>
        <v>98.6</v>
      </c>
      <c r="AC125" s="348">
        <f t="shared" si="58"/>
        <v>0</v>
      </c>
    </row>
    <row r="126" spans="1:29" s="331" customFormat="1" ht="60" customHeight="1" thickBot="1">
      <c r="A126" s="1610" t="s">
        <v>22</v>
      </c>
      <c r="B126" s="1611"/>
      <c r="C126" s="350"/>
      <c r="D126" s="350"/>
      <c r="E126" s="350">
        <f>SUM(E106:E125)</f>
        <v>900</v>
      </c>
      <c r="F126" s="350"/>
      <c r="G126" s="350"/>
      <c r="H126" s="350">
        <f>SUM(H106:H125)</f>
        <v>5006.34</v>
      </c>
      <c r="I126" s="350">
        <f t="shared" ref="I126:Q126" si="67">SUM(I106:I125)</f>
        <v>3640.09</v>
      </c>
      <c r="J126" s="350">
        <f t="shared" si="67"/>
        <v>45501.13</v>
      </c>
      <c r="K126" s="350">
        <f t="shared" si="67"/>
        <v>1314</v>
      </c>
      <c r="L126" s="350">
        <f t="shared" si="67"/>
        <v>1314</v>
      </c>
      <c r="M126" s="350">
        <f t="shared" si="67"/>
        <v>452.16</v>
      </c>
      <c r="N126" s="350">
        <f t="shared" si="67"/>
        <v>3187.93</v>
      </c>
      <c r="O126" s="350">
        <f t="shared" si="67"/>
        <v>1366.25</v>
      </c>
      <c r="P126" s="350">
        <f t="shared" si="67"/>
        <v>2286</v>
      </c>
      <c r="Q126" s="350">
        <f t="shared" si="67"/>
        <v>900</v>
      </c>
      <c r="R126" s="351"/>
    </row>
    <row r="127" spans="1:29" s="331" customFormat="1" ht="45" customHeight="1" thickBot="1">
      <c r="A127" s="436"/>
      <c r="C127" s="355"/>
      <c r="D127" s="355"/>
      <c r="E127" s="355"/>
      <c r="F127" s="355"/>
      <c r="G127" s="355"/>
      <c r="Q127" s="435"/>
    </row>
    <row r="128" spans="1:29" s="331" customFormat="1" ht="45" customHeight="1" thickBot="1">
      <c r="A128" s="1605" t="s">
        <v>321</v>
      </c>
      <c r="B128" s="1606"/>
      <c r="C128" s="1606"/>
      <c r="D128" s="1606"/>
      <c r="E128" s="1606"/>
      <c r="F128" s="1606"/>
      <c r="G128" s="1606"/>
      <c r="H128" s="1606"/>
      <c r="I128" s="1606"/>
      <c r="J128" s="1606"/>
      <c r="K128" s="1606"/>
      <c r="L128" s="1606"/>
      <c r="M128" s="1606"/>
      <c r="N128" s="1606"/>
      <c r="O128" s="1606"/>
      <c r="P128" s="1606"/>
      <c r="Q128" s="1607"/>
      <c r="R128" s="330"/>
    </row>
    <row r="129" spans="1:29" s="331" customFormat="1" ht="45" customHeight="1">
      <c r="A129" s="1612" t="s">
        <v>6</v>
      </c>
      <c r="B129" s="1615" t="s">
        <v>322</v>
      </c>
      <c r="C129" s="1620" t="s">
        <v>497</v>
      </c>
      <c r="D129" s="1620"/>
      <c r="E129" s="1620"/>
      <c r="F129" s="1608" t="s">
        <v>465</v>
      </c>
      <c r="G129" s="1608"/>
      <c r="H129" s="1608"/>
      <c r="I129" s="1608" t="s">
        <v>466</v>
      </c>
      <c r="J129" s="1623" t="s">
        <v>469</v>
      </c>
      <c r="K129" s="1608" t="s">
        <v>314</v>
      </c>
      <c r="L129" s="1608" t="s">
        <v>316</v>
      </c>
      <c r="M129" s="1600" t="s">
        <v>315</v>
      </c>
      <c r="N129" s="1603" t="s">
        <v>467</v>
      </c>
      <c r="O129" s="1603" t="s">
        <v>532</v>
      </c>
      <c r="P129" s="1603" t="s">
        <v>468</v>
      </c>
      <c r="Q129" s="1618" t="s">
        <v>317</v>
      </c>
      <c r="R129" s="330"/>
    </row>
    <row r="130" spans="1:29" s="331" customFormat="1" ht="45" customHeight="1">
      <c r="A130" s="1613"/>
      <c r="B130" s="1616"/>
      <c r="C130" s="1621"/>
      <c r="D130" s="1621"/>
      <c r="E130" s="1621"/>
      <c r="F130" s="1609"/>
      <c r="G130" s="1609"/>
      <c r="H130" s="1609"/>
      <c r="I130" s="1609"/>
      <c r="J130" s="1624"/>
      <c r="K130" s="1609"/>
      <c r="L130" s="1609"/>
      <c r="M130" s="1601"/>
      <c r="N130" s="1604"/>
      <c r="O130" s="1604"/>
      <c r="P130" s="1622"/>
      <c r="Q130" s="1619"/>
      <c r="R130" s="330"/>
    </row>
    <row r="131" spans="1:29" s="331" customFormat="1" ht="45" customHeight="1">
      <c r="A131" s="1613"/>
      <c r="B131" s="1616"/>
      <c r="C131" s="334" t="s">
        <v>148</v>
      </c>
      <c r="D131" s="335" t="s">
        <v>329</v>
      </c>
      <c r="E131" s="334" t="s">
        <v>313</v>
      </c>
      <c r="F131" s="334" t="s">
        <v>307</v>
      </c>
      <c r="G131" s="334" t="s">
        <v>312</v>
      </c>
      <c r="H131" s="334" t="s">
        <v>22</v>
      </c>
      <c r="I131" s="1609"/>
      <c r="J131" s="1624"/>
      <c r="K131" s="1609"/>
      <c r="L131" s="1609"/>
      <c r="M131" s="1602"/>
      <c r="N131" s="334" t="s">
        <v>22</v>
      </c>
      <c r="O131" s="334" t="s">
        <v>22</v>
      </c>
      <c r="P131" s="1604"/>
      <c r="Q131" s="1619"/>
      <c r="R131" s="330"/>
    </row>
    <row r="132" spans="1:29" s="331" customFormat="1" ht="60" customHeight="1">
      <c r="A132" s="1613"/>
      <c r="B132" s="1616"/>
      <c r="C132" s="517"/>
      <c r="D132" s="517"/>
      <c r="E132" s="517" t="s">
        <v>50</v>
      </c>
      <c r="F132" s="517" t="s">
        <v>53</v>
      </c>
      <c r="G132" s="517" t="s">
        <v>14</v>
      </c>
      <c r="H132" s="517" t="s">
        <v>667</v>
      </c>
      <c r="I132" s="517" t="s">
        <v>672</v>
      </c>
      <c r="J132" s="516" t="s">
        <v>668</v>
      </c>
      <c r="K132" s="517" t="s">
        <v>669</v>
      </c>
      <c r="L132" s="517" t="s">
        <v>670</v>
      </c>
      <c r="M132" s="517" t="s">
        <v>671</v>
      </c>
      <c r="N132" s="517" t="s">
        <v>673</v>
      </c>
      <c r="O132" s="517" t="s">
        <v>674</v>
      </c>
      <c r="P132" s="517" t="s">
        <v>675</v>
      </c>
      <c r="Q132" s="515" t="s">
        <v>676</v>
      </c>
      <c r="R132" s="330"/>
      <c r="S132" s="1597" t="s">
        <v>481</v>
      </c>
      <c r="T132" s="1598"/>
      <c r="U132" s="1598"/>
      <c r="V132" s="1598"/>
      <c r="W132" s="1598"/>
      <c r="X132" s="1598"/>
      <c r="Y132" s="1598"/>
      <c r="Z132" s="1598"/>
      <c r="AA132" s="1598"/>
      <c r="AB132" s="1598"/>
      <c r="AC132" s="1599"/>
    </row>
    <row r="133" spans="1:29" s="331" customFormat="1" ht="60" customHeight="1" thickBot="1">
      <c r="A133" s="1614"/>
      <c r="B133" s="1617"/>
      <c r="C133" s="337" t="s">
        <v>311</v>
      </c>
      <c r="D133" s="337" t="s">
        <v>308</v>
      </c>
      <c r="E133" s="337" t="s">
        <v>308</v>
      </c>
      <c r="F133" s="337" t="s">
        <v>513</v>
      </c>
      <c r="G133" s="339" t="s">
        <v>677</v>
      </c>
      <c r="H133" s="337"/>
      <c r="I133" s="337"/>
      <c r="J133" s="338">
        <v>10</v>
      </c>
      <c r="K133" s="337"/>
      <c r="L133" s="337"/>
      <c r="M133" s="337"/>
      <c r="N133" s="337"/>
      <c r="O133" s="339"/>
      <c r="P133" s="339" t="s">
        <v>530</v>
      </c>
      <c r="Q133" s="432"/>
      <c r="R133" s="340"/>
      <c r="S133" s="335" t="s">
        <v>474</v>
      </c>
      <c r="T133" s="335" t="s">
        <v>475</v>
      </c>
      <c r="U133" s="335" t="s">
        <v>476</v>
      </c>
      <c r="V133" s="335" t="s">
        <v>477</v>
      </c>
      <c r="W133" s="335" t="s">
        <v>478</v>
      </c>
      <c r="X133" s="335" t="s">
        <v>323</v>
      </c>
      <c r="Y133" s="334" t="s">
        <v>467</v>
      </c>
      <c r="Z133" s="334" t="s">
        <v>532</v>
      </c>
      <c r="AA133" s="334" t="s">
        <v>468</v>
      </c>
      <c r="AB133" s="334" t="s">
        <v>317</v>
      </c>
      <c r="AC133" s="341" t="s">
        <v>22</v>
      </c>
    </row>
    <row r="134" spans="1:29" s="331" customFormat="1" ht="45" hidden="1" customHeight="1">
      <c r="A134" s="342">
        <f>DADOS!A12</f>
        <v>1</v>
      </c>
      <c r="B134" s="356"/>
      <c r="C134" s="344">
        <v>1</v>
      </c>
      <c r="D134" s="344"/>
      <c r="E134" s="344">
        <f>C134*D134</f>
        <v>0</v>
      </c>
      <c r="F134" s="345">
        <f>1.2+0.5</f>
        <v>1.7</v>
      </c>
      <c r="G134" s="345">
        <f>((1.2+0.6)+((1.2+0.6)+(E134*0.5%)))/2</f>
        <v>1.8</v>
      </c>
      <c r="H134" s="345">
        <f t="shared" ref="H134:H153" si="68">E134*F134*G134</f>
        <v>0</v>
      </c>
      <c r="I134" s="345">
        <f>M134</f>
        <v>0</v>
      </c>
      <c r="J134" s="346">
        <f>I134*1.25*$J$16</f>
        <v>0</v>
      </c>
      <c r="K134" s="345">
        <f t="shared" ref="K134:K153" si="69">E134*F134</f>
        <v>0</v>
      </c>
      <c r="L134" s="345">
        <f>K134</f>
        <v>0</v>
      </c>
      <c r="M134" s="345">
        <f t="shared" ref="M134:M153" si="70">(3.14*0.5^2)*E134</f>
        <v>0</v>
      </c>
      <c r="N134" s="345">
        <f>(H134-M134)*70%</f>
        <v>0</v>
      </c>
      <c r="O134" s="345">
        <f>(H134-M134)*30%</f>
        <v>0</v>
      </c>
      <c r="P134" s="345">
        <f t="shared" ref="P134:P153" si="71">IF(G134&gt;1.5,D134*G134*2,)</f>
        <v>0</v>
      </c>
      <c r="Q134" s="433">
        <f t="shared" ref="Q134:Q153" si="72">E134</f>
        <v>0</v>
      </c>
      <c r="R134" s="347"/>
      <c r="S134" s="348">
        <f>'PLANILHA GERAL'!$J$80</f>
        <v>712.32</v>
      </c>
      <c r="T134" s="348">
        <f>'PLANILHA GERAL'!$J$81</f>
        <v>13.75</v>
      </c>
      <c r="U134" s="348">
        <f>'PLANILHA GERAL'!$J$82</f>
        <v>8.0399999999999991</v>
      </c>
      <c r="V134" s="348">
        <f>'PLANILHA GERAL'!$J$83</f>
        <v>3.45</v>
      </c>
      <c r="W134" s="348">
        <f>'PLANILHA GERAL'!$J$84</f>
        <v>7.35</v>
      </c>
      <c r="X134" s="348">
        <f>'PLANILHA GERAL'!$J$85</f>
        <v>60.59</v>
      </c>
      <c r="Y134" s="348">
        <f>'PLANILHA GERAL'!$J$86</f>
        <v>219.78</v>
      </c>
      <c r="Z134" s="348">
        <f>'PLANILHA GERAL'!$J$87</f>
        <v>22.08</v>
      </c>
      <c r="AA134" s="348">
        <f>'PLANILHA GERAL'!$J$88</f>
        <v>51.71</v>
      </c>
      <c r="AB134" s="348">
        <f>'PLANILHA GERAL'!$J$89</f>
        <v>128.16</v>
      </c>
      <c r="AC134" s="348">
        <f t="shared" ref="AC134:AC153" si="73">(E134*S134)+(H134*T134)+(I134*U134)+(J134*V134)+(K134*W134)+(L134*X134)+(N134*Y134)+(O134*Z134)+(P134*AA134)+(Q134*AB134)</f>
        <v>0</v>
      </c>
    </row>
    <row r="135" spans="1:29" s="331" customFormat="1" ht="45" hidden="1" customHeight="1">
      <c r="A135" s="342">
        <f>DADOS!A13</f>
        <v>2</v>
      </c>
      <c r="B135" s="356"/>
      <c r="C135" s="349">
        <v>1</v>
      </c>
      <c r="D135" s="345"/>
      <c r="E135" s="345">
        <f>C135*D135</f>
        <v>0</v>
      </c>
      <c r="F135" s="345">
        <f t="shared" ref="F135:F153" si="74">1.2+0.5</f>
        <v>1.7</v>
      </c>
      <c r="G135" s="345">
        <f t="shared" ref="G135:G153" si="75">((1.2+0.6)+((1.2+0.6)+(E135*0.5%)))/2</f>
        <v>1.8</v>
      </c>
      <c r="H135" s="345">
        <f t="shared" si="68"/>
        <v>0</v>
      </c>
      <c r="I135" s="345">
        <f t="shared" ref="I135:I153" si="76">M135</f>
        <v>0</v>
      </c>
      <c r="J135" s="346">
        <f t="shared" ref="J135:J153" si="77">I135*1.25*$J$16</f>
        <v>0</v>
      </c>
      <c r="K135" s="345">
        <f t="shared" si="69"/>
        <v>0</v>
      </c>
      <c r="L135" s="345">
        <f t="shared" ref="L135:L153" si="78">K135</f>
        <v>0</v>
      </c>
      <c r="M135" s="345">
        <f t="shared" si="70"/>
        <v>0</v>
      </c>
      <c r="N135" s="345">
        <f t="shared" ref="N135:N153" si="79">(H135-M135)*70%</f>
        <v>0</v>
      </c>
      <c r="O135" s="345">
        <f t="shared" ref="O135:O153" si="80">(H135-M135)*30%</f>
        <v>0</v>
      </c>
      <c r="P135" s="345">
        <f t="shared" si="71"/>
        <v>0</v>
      </c>
      <c r="Q135" s="433">
        <f t="shared" si="72"/>
        <v>0</v>
      </c>
      <c r="R135" s="347"/>
      <c r="S135" s="348">
        <f>'PLANILHA GERAL'!$J$80</f>
        <v>712.32</v>
      </c>
      <c r="T135" s="348">
        <f>'PLANILHA GERAL'!$J$81</f>
        <v>13.75</v>
      </c>
      <c r="U135" s="348">
        <f>'PLANILHA GERAL'!$J$82</f>
        <v>8.0399999999999991</v>
      </c>
      <c r="V135" s="348">
        <f>'PLANILHA GERAL'!$J$83</f>
        <v>3.45</v>
      </c>
      <c r="W135" s="348">
        <f>'PLANILHA GERAL'!$J$84</f>
        <v>7.35</v>
      </c>
      <c r="X135" s="348">
        <f>'PLANILHA GERAL'!$J$85</f>
        <v>60.59</v>
      </c>
      <c r="Y135" s="348">
        <f>'PLANILHA GERAL'!$J$86</f>
        <v>219.78</v>
      </c>
      <c r="Z135" s="348">
        <f>'PLANILHA GERAL'!$J$87</f>
        <v>22.08</v>
      </c>
      <c r="AA135" s="348">
        <f>'PLANILHA GERAL'!$J$88</f>
        <v>51.71</v>
      </c>
      <c r="AB135" s="348">
        <f>'PLANILHA GERAL'!$J$89</f>
        <v>128.16</v>
      </c>
      <c r="AC135" s="348">
        <f t="shared" si="73"/>
        <v>0</v>
      </c>
    </row>
    <row r="136" spans="1:29" s="331" customFormat="1" ht="60" customHeight="1" thickBot="1">
      <c r="A136" s="342">
        <v>1</v>
      </c>
      <c r="B136" s="343" t="s">
        <v>1929</v>
      </c>
      <c r="C136" s="349">
        <v>3</v>
      </c>
      <c r="D136" s="345">
        <v>150</v>
      </c>
      <c r="E136" s="345">
        <f t="shared" ref="E136:E153" si="81">C136*D136</f>
        <v>450</v>
      </c>
      <c r="F136" s="345">
        <f t="shared" si="74"/>
        <v>1.7</v>
      </c>
      <c r="G136" s="345">
        <f t="shared" si="75"/>
        <v>2.93</v>
      </c>
      <c r="H136" s="345">
        <f t="shared" si="68"/>
        <v>2241.4499999999998</v>
      </c>
      <c r="I136" s="345">
        <f>M136+N136</f>
        <v>1674.99</v>
      </c>
      <c r="J136" s="346">
        <f t="shared" si="77"/>
        <v>20937.38</v>
      </c>
      <c r="K136" s="345">
        <f t="shared" si="69"/>
        <v>765</v>
      </c>
      <c r="L136" s="345">
        <f t="shared" si="78"/>
        <v>765</v>
      </c>
      <c r="M136" s="345">
        <f t="shared" si="70"/>
        <v>353.25</v>
      </c>
      <c r="N136" s="345">
        <f t="shared" si="79"/>
        <v>1321.74</v>
      </c>
      <c r="O136" s="345">
        <f t="shared" si="80"/>
        <v>566.46</v>
      </c>
      <c r="P136" s="345">
        <f t="shared" si="71"/>
        <v>879</v>
      </c>
      <c r="Q136" s="433">
        <f t="shared" si="72"/>
        <v>450</v>
      </c>
      <c r="R136" s="347"/>
      <c r="S136" s="348">
        <f>'PLANILHA GERAL'!$J$80</f>
        <v>712.32</v>
      </c>
      <c r="T136" s="348">
        <f>'PLANILHA GERAL'!$J$81</f>
        <v>13.75</v>
      </c>
      <c r="U136" s="348">
        <f>'PLANILHA GERAL'!$J$82</f>
        <v>8.0399999999999991</v>
      </c>
      <c r="V136" s="348">
        <f>'PLANILHA GERAL'!$J$83</f>
        <v>3.45</v>
      </c>
      <c r="W136" s="348">
        <f>'PLANILHA GERAL'!$J$84</f>
        <v>7.35</v>
      </c>
      <c r="X136" s="348">
        <f>'PLANILHA GERAL'!$J$85</f>
        <v>60.59</v>
      </c>
      <c r="Y136" s="348">
        <f>'PLANILHA GERAL'!$J$86</f>
        <v>219.78</v>
      </c>
      <c r="Z136" s="348">
        <f>'PLANILHA GERAL'!$J$87</f>
        <v>22.08</v>
      </c>
      <c r="AA136" s="348">
        <f>'PLANILHA GERAL'!$J$88</f>
        <v>51.71</v>
      </c>
      <c r="AB136" s="348">
        <f>'PLANILHA GERAL'!$J$89</f>
        <v>128.16</v>
      </c>
      <c r="AC136" s="348">
        <f t="shared" si="73"/>
        <v>895163.46</v>
      </c>
    </row>
    <row r="137" spans="1:29" s="331" customFormat="1" ht="45" hidden="1" customHeight="1">
      <c r="A137" s="342">
        <f>DADOS!A15</f>
        <v>0</v>
      </c>
      <c r="B137" s="356"/>
      <c r="C137" s="349">
        <v>1</v>
      </c>
      <c r="D137" s="345"/>
      <c r="E137" s="345">
        <f t="shared" si="81"/>
        <v>0</v>
      </c>
      <c r="F137" s="345">
        <f t="shared" si="74"/>
        <v>1.7</v>
      </c>
      <c r="G137" s="345">
        <f t="shared" si="75"/>
        <v>1.8</v>
      </c>
      <c r="H137" s="345">
        <f t="shared" si="68"/>
        <v>0</v>
      </c>
      <c r="I137" s="345">
        <f t="shared" si="76"/>
        <v>0</v>
      </c>
      <c r="J137" s="346">
        <f t="shared" si="77"/>
        <v>0</v>
      </c>
      <c r="K137" s="345">
        <f t="shared" si="69"/>
        <v>0</v>
      </c>
      <c r="L137" s="345">
        <f t="shared" si="78"/>
        <v>0</v>
      </c>
      <c r="M137" s="345">
        <f t="shared" si="70"/>
        <v>0</v>
      </c>
      <c r="N137" s="345">
        <f t="shared" si="79"/>
        <v>0</v>
      </c>
      <c r="O137" s="345">
        <f t="shared" si="80"/>
        <v>0</v>
      </c>
      <c r="P137" s="345">
        <f t="shared" si="71"/>
        <v>0</v>
      </c>
      <c r="Q137" s="433">
        <f t="shared" si="72"/>
        <v>0</v>
      </c>
      <c r="R137" s="347"/>
      <c r="S137" s="348">
        <f>'PLANILHA GERAL'!$J$80</f>
        <v>712.32</v>
      </c>
      <c r="T137" s="348">
        <f>'PLANILHA GERAL'!$J$81</f>
        <v>13.75</v>
      </c>
      <c r="U137" s="348">
        <f>'PLANILHA GERAL'!$J$82</f>
        <v>8.0399999999999991</v>
      </c>
      <c r="V137" s="348">
        <f>'PLANILHA GERAL'!$J$83</f>
        <v>3.45</v>
      </c>
      <c r="W137" s="348">
        <f>'PLANILHA GERAL'!$J$84</f>
        <v>7.35</v>
      </c>
      <c r="X137" s="348">
        <f>'PLANILHA GERAL'!$J$85</f>
        <v>60.59</v>
      </c>
      <c r="Y137" s="348">
        <f>'PLANILHA GERAL'!$J$86</f>
        <v>219.78</v>
      </c>
      <c r="Z137" s="348">
        <f>'PLANILHA GERAL'!$J$87</f>
        <v>22.08</v>
      </c>
      <c r="AA137" s="348">
        <f>'PLANILHA GERAL'!$J$88</f>
        <v>51.71</v>
      </c>
      <c r="AB137" s="348">
        <f>'PLANILHA GERAL'!$J$89</f>
        <v>128.16</v>
      </c>
      <c r="AC137" s="348">
        <f t="shared" si="73"/>
        <v>0</v>
      </c>
    </row>
    <row r="138" spans="1:29" s="331" customFormat="1" ht="45" hidden="1" customHeight="1">
      <c r="A138" s="342">
        <f>DADOS!A16</f>
        <v>0</v>
      </c>
      <c r="B138" s="356"/>
      <c r="C138" s="349">
        <v>1</v>
      </c>
      <c r="D138" s="345"/>
      <c r="E138" s="345">
        <f t="shared" si="81"/>
        <v>0</v>
      </c>
      <c r="F138" s="345">
        <f t="shared" si="74"/>
        <v>1.7</v>
      </c>
      <c r="G138" s="345">
        <f t="shared" si="75"/>
        <v>1.8</v>
      </c>
      <c r="H138" s="345">
        <f t="shared" si="68"/>
        <v>0</v>
      </c>
      <c r="I138" s="345">
        <f t="shared" si="76"/>
        <v>0</v>
      </c>
      <c r="J138" s="346">
        <f t="shared" si="77"/>
        <v>0</v>
      </c>
      <c r="K138" s="345">
        <f t="shared" si="69"/>
        <v>0</v>
      </c>
      <c r="L138" s="345">
        <f t="shared" si="78"/>
        <v>0</v>
      </c>
      <c r="M138" s="345">
        <f t="shared" si="70"/>
        <v>0</v>
      </c>
      <c r="N138" s="345">
        <f t="shared" si="79"/>
        <v>0</v>
      </c>
      <c r="O138" s="345">
        <f t="shared" si="80"/>
        <v>0</v>
      </c>
      <c r="P138" s="345">
        <f t="shared" si="71"/>
        <v>0</v>
      </c>
      <c r="Q138" s="433">
        <f t="shared" si="72"/>
        <v>0</v>
      </c>
      <c r="R138" s="347"/>
      <c r="S138" s="348">
        <f>'PLANILHA GERAL'!$J$80</f>
        <v>712.32</v>
      </c>
      <c r="T138" s="348">
        <f>'PLANILHA GERAL'!$J$81</f>
        <v>13.75</v>
      </c>
      <c r="U138" s="348">
        <f>'PLANILHA GERAL'!$J$82</f>
        <v>8.0399999999999991</v>
      </c>
      <c r="V138" s="348">
        <f>'PLANILHA GERAL'!$J$83</f>
        <v>3.45</v>
      </c>
      <c r="W138" s="348">
        <f>'PLANILHA GERAL'!$J$84</f>
        <v>7.35</v>
      </c>
      <c r="X138" s="348">
        <f>'PLANILHA GERAL'!$J$85</f>
        <v>60.59</v>
      </c>
      <c r="Y138" s="348">
        <f>'PLANILHA GERAL'!$J$86</f>
        <v>219.78</v>
      </c>
      <c r="Z138" s="348">
        <f>'PLANILHA GERAL'!$J$87</f>
        <v>22.08</v>
      </c>
      <c r="AA138" s="348">
        <f>'PLANILHA GERAL'!$J$88</f>
        <v>51.71</v>
      </c>
      <c r="AB138" s="348">
        <f>'PLANILHA GERAL'!$J$89</f>
        <v>128.16</v>
      </c>
      <c r="AC138" s="348">
        <f t="shared" si="73"/>
        <v>0</v>
      </c>
    </row>
    <row r="139" spans="1:29" s="331" customFormat="1" ht="45" hidden="1" customHeight="1">
      <c r="A139" s="342">
        <f>DADOS!A17</f>
        <v>0</v>
      </c>
      <c r="B139" s="356"/>
      <c r="C139" s="349">
        <v>1</v>
      </c>
      <c r="D139" s="345"/>
      <c r="E139" s="345">
        <f t="shared" si="81"/>
        <v>0</v>
      </c>
      <c r="F139" s="345">
        <f t="shared" si="74"/>
        <v>1.7</v>
      </c>
      <c r="G139" s="345">
        <f t="shared" si="75"/>
        <v>1.8</v>
      </c>
      <c r="H139" s="345">
        <f t="shared" si="68"/>
        <v>0</v>
      </c>
      <c r="I139" s="345">
        <f t="shared" si="76"/>
        <v>0</v>
      </c>
      <c r="J139" s="346">
        <f t="shared" si="77"/>
        <v>0</v>
      </c>
      <c r="K139" s="345">
        <f t="shared" si="69"/>
        <v>0</v>
      </c>
      <c r="L139" s="345">
        <f t="shared" si="78"/>
        <v>0</v>
      </c>
      <c r="M139" s="345">
        <f t="shared" si="70"/>
        <v>0</v>
      </c>
      <c r="N139" s="345">
        <f t="shared" si="79"/>
        <v>0</v>
      </c>
      <c r="O139" s="345">
        <f t="shared" si="80"/>
        <v>0</v>
      </c>
      <c r="P139" s="345">
        <f t="shared" si="71"/>
        <v>0</v>
      </c>
      <c r="Q139" s="433">
        <f t="shared" si="72"/>
        <v>0</v>
      </c>
      <c r="R139" s="347"/>
      <c r="S139" s="348">
        <f>'PLANILHA GERAL'!$J$80</f>
        <v>712.32</v>
      </c>
      <c r="T139" s="348">
        <f>'PLANILHA GERAL'!$J$81</f>
        <v>13.75</v>
      </c>
      <c r="U139" s="348">
        <f>'PLANILHA GERAL'!$J$82</f>
        <v>8.0399999999999991</v>
      </c>
      <c r="V139" s="348">
        <f>'PLANILHA GERAL'!$J$83</f>
        <v>3.45</v>
      </c>
      <c r="W139" s="348">
        <f>'PLANILHA GERAL'!$J$84</f>
        <v>7.35</v>
      </c>
      <c r="X139" s="348">
        <f>'PLANILHA GERAL'!$J$85</f>
        <v>60.59</v>
      </c>
      <c r="Y139" s="348">
        <f>'PLANILHA GERAL'!$J$86</f>
        <v>219.78</v>
      </c>
      <c r="Z139" s="348">
        <f>'PLANILHA GERAL'!$J$87</f>
        <v>22.08</v>
      </c>
      <c r="AA139" s="348">
        <f>'PLANILHA GERAL'!$J$88</f>
        <v>51.71</v>
      </c>
      <c r="AB139" s="348">
        <f>'PLANILHA GERAL'!$J$89</f>
        <v>128.16</v>
      </c>
      <c r="AC139" s="348">
        <f t="shared" si="73"/>
        <v>0</v>
      </c>
    </row>
    <row r="140" spans="1:29" s="331" customFormat="1" ht="45" hidden="1" customHeight="1">
      <c r="A140" s="342">
        <f>DADOS!A18</f>
        <v>0</v>
      </c>
      <c r="B140" s="356"/>
      <c r="C140" s="349">
        <v>1</v>
      </c>
      <c r="D140" s="345"/>
      <c r="E140" s="345">
        <f t="shared" si="81"/>
        <v>0</v>
      </c>
      <c r="F140" s="345">
        <f t="shared" si="74"/>
        <v>1.7</v>
      </c>
      <c r="G140" s="345">
        <f t="shared" si="75"/>
        <v>1.8</v>
      </c>
      <c r="H140" s="345">
        <f t="shared" si="68"/>
        <v>0</v>
      </c>
      <c r="I140" s="345">
        <f t="shared" si="76"/>
        <v>0</v>
      </c>
      <c r="J140" s="346">
        <f t="shared" si="77"/>
        <v>0</v>
      </c>
      <c r="K140" s="345">
        <f t="shared" si="69"/>
        <v>0</v>
      </c>
      <c r="L140" s="345">
        <f t="shared" si="78"/>
        <v>0</v>
      </c>
      <c r="M140" s="345">
        <f t="shared" si="70"/>
        <v>0</v>
      </c>
      <c r="N140" s="345">
        <f t="shared" si="79"/>
        <v>0</v>
      </c>
      <c r="O140" s="345">
        <f t="shared" si="80"/>
        <v>0</v>
      </c>
      <c r="P140" s="345">
        <f t="shared" si="71"/>
        <v>0</v>
      </c>
      <c r="Q140" s="433">
        <f t="shared" si="72"/>
        <v>0</v>
      </c>
      <c r="R140" s="347"/>
      <c r="S140" s="348">
        <f>'PLANILHA GERAL'!$J$80</f>
        <v>712.32</v>
      </c>
      <c r="T140" s="348">
        <f>'PLANILHA GERAL'!$J$81</f>
        <v>13.75</v>
      </c>
      <c r="U140" s="348">
        <f>'PLANILHA GERAL'!$J$82</f>
        <v>8.0399999999999991</v>
      </c>
      <c r="V140" s="348">
        <f>'PLANILHA GERAL'!$J$83</f>
        <v>3.45</v>
      </c>
      <c r="W140" s="348">
        <f>'PLANILHA GERAL'!$J$84</f>
        <v>7.35</v>
      </c>
      <c r="X140" s="348">
        <f>'PLANILHA GERAL'!$J$85</f>
        <v>60.59</v>
      </c>
      <c r="Y140" s="348">
        <f>'PLANILHA GERAL'!$J$86</f>
        <v>219.78</v>
      </c>
      <c r="Z140" s="348">
        <f>'PLANILHA GERAL'!$J$87</f>
        <v>22.08</v>
      </c>
      <c r="AA140" s="348">
        <f>'PLANILHA GERAL'!$J$88</f>
        <v>51.71</v>
      </c>
      <c r="AB140" s="348">
        <f>'PLANILHA GERAL'!$J$89</f>
        <v>128.16</v>
      </c>
      <c r="AC140" s="348">
        <f t="shared" si="73"/>
        <v>0</v>
      </c>
    </row>
    <row r="141" spans="1:29" s="331" customFormat="1" ht="45" hidden="1" customHeight="1">
      <c r="A141" s="342">
        <f>DADOS!A20</f>
        <v>0</v>
      </c>
      <c r="B141" s="356"/>
      <c r="C141" s="349">
        <v>1</v>
      </c>
      <c r="D141" s="345"/>
      <c r="E141" s="345">
        <f t="shared" si="81"/>
        <v>0</v>
      </c>
      <c r="F141" s="345">
        <f t="shared" si="74"/>
        <v>1.7</v>
      </c>
      <c r="G141" s="345">
        <f t="shared" si="75"/>
        <v>1.8</v>
      </c>
      <c r="H141" s="345">
        <f t="shared" si="68"/>
        <v>0</v>
      </c>
      <c r="I141" s="345">
        <f t="shared" si="76"/>
        <v>0</v>
      </c>
      <c r="J141" s="346">
        <f t="shared" si="77"/>
        <v>0</v>
      </c>
      <c r="K141" s="345">
        <f t="shared" si="69"/>
        <v>0</v>
      </c>
      <c r="L141" s="345">
        <f t="shared" si="78"/>
        <v>0</v>
      </c>
      <c r="M141" s="345">
        <f t="shared" si="70"/>
        <v>0</v>
      </c>
      <c r="N141" s="345">
        <f t="shared" si="79"/>
        <v>0</v>
      </c>
      <c r="O141" s="345">
        <f t="shared" si="80"/>
        <v>0</v>
      </c>
      <c r="P141" s="345">
        <f t="shared" si="71"/>
        <v>0</v>
      </c>
      <c r="Q141" s="433">
        <f t="shared" si="72"/>
        <v>0</v>
      </c>
      <c r="R141" s="347"/>
      <c r="S141" s="348">
        <f>'PLANILHA GERAL'!$J$80</f>
        <v>712.32</v>
      </c>
      <c r="T141" s="348">
        <f>'PLANILHA GERAL'!$J$81</f>
        <v>13.75</v>
      </c>
      <c r="U141" s="348">
        <f>'PLANILHA GERAL'!$J$82</f>
        <v>8.0399999999999991</v>
      </c>
      <c r="V141" s="348">
        <f>'PLANILHA GERAL'!$J$83</f>
        <v>3.45</v>
      </c>
      <c r="W141" s="348">
        <f>'PLANILHA GERAL'!$J$84</f>
        <v>7.35</v>
      </c>
      <c r="X141" s="348">
        <f>'PLANILHA GERAL'!$J$85</f>
        <v>60.59</v>
      </c>
      <c r="Y141" s="348">
        <f>'PLANILHA GERAL'!$J$86</f>
        <v>219.78</v>
      </c>
      <c r="Z141" s="348">
        <f>'PLANILHA GERAL'!$J$87</f>
        <v>22.08</v>
      </c>
      <c r="AA141" s="348">
        <f>'PLANILHA GERAL'!$J$88</f>
        <v>51.71</v>
      </c>
      <c r="AB141" s="348">
        <f>'PLANILHA GERAL'!$J$89</f>
        <v>128.16</v>
      </c>
      <c r="AC141" s="348">
        <f t="shared" si="73"/>
        <v>0</v>
      </c>
    </row>
    <row r="142" spans="1:29" s="331" customFormat="1" ht="45" hidden="1" customHeight="1">
      <c r="A142" s="342">
        <f>DADOS!A21</f>
        <v>0</v>
      </c>
      <c r="B142" s="356"/>
      <c r="C142" s="349">
        <v>1</v>
      </c>
      <c r="D142" s="345"/>
      <c r="E142" s="345">
        <f t="shared" si="81"/>
        <v>0</v>
      </c>
      <c r="F142" s="345">
        <f t="shared" si="74"/>
        <v>1.7</v>
      </c>
      <c r="G142" s="345">
        <f t="shared" si="75"/>
        <v>1.8</v>
      </c>
      <c r="H142" s="345">
        <f t="shared" si="68"/>
        <v>0</v>
      </c>
      <c r="I142" s="345">
        <f t="shared" si="76"/>
        <v>0</v>
      </c>
      <c r="J142" s="346">
        <f t="shared" si="77"/>
        <v>0</v>
      </c>
      <c r="K142" s="345">
        <f t="shared" si="69"/>
        <v>0</v>
      </c>
      <c r="L142" s="345">
        <f t="shared" si="78"/>
        <v>0</v>
      </c>
      <c r="M142" s="345">
        <f t="shared" si="70"/>
        <v>0</v>
      </c>
      <c r="N142" s="345">
        <f t="shared" si="79"/>
        <v>0</v>
      </c>
      <c r="O142" s="345">
        <f t="shared" si="80"/>
        <v>0</v>
      </c>
      <c r="P142" s="345">
        <f t="shared" si="71"/>
        <v>0</v>
      </c>
      <c r="Q142" s="433">
        <f t="shared" si="72"/>
        <v>0</v>
      </c>
      <c r="R142" s="347"/>
      <c r="S142" s="348">
        <f>'PLANILHA GERAL'!$J$80</f>
        <v>712.32</v>
      </c>
      <c r="T142" s="348">
        <f>'PLANILHA GERAL'!$J$81</f>
        <v>13.75</v>
      </c>
      <c r="U142" s="348">
        <f>'PLANILHA GERAL'!$J$82</f>
        <v>8.0399999999999991</v>
      </c>
      <c r="V142" s="348">
        <f>'PLANILHA GERAL'!$J$83</f>
        <v>3.45</v>
      </c>
      <c r="W142" s="348">
        <f>'PLANILHA GERAL'!$J$84</f>
        <v>7.35</v>
      </c>
      <c r="X142" s="348">
        <f>'PLANILHA GERAL'!$J$85</f>
        <v>60.59</v>
      </c>
      <c r="Y142" s="348">
        <f>'PLANILHA GERAL'!$J$86</f>
        <v>219.78</v>
      </c>
      <c r="Z142" s="348">
        <f>'PLANILHA GERAL'!$J$87</f>
        <v>22.08</v>
      </c>
      <c r="AA142" s="348">
        <f>'PLANILHA GERAL'!$J$88</f>
        <v>51.71</v>
      </c>
      <c r="AB142" s="348">
        <f>'PLANILHA GERAL'!$J$89</f>
        <v>128.16</v>
      </c>
      <c r="AC142" s="348">
        <f t="shared" si="73"/>
        <v>0</v>
      </c>
    </row>
    <row r="143" spans="1:29" s="331" customFormat="1" ht="45" hidden="1" customHeight="1">
      <c r="A143" s="342">
        <f>DADOS!A22</f>
        <v>0</v>
      </c>
      <c r="B143" s="356">
        <f>DADOS!B22</f>
        <v>0</v>
      </c>
      <c r="C143" s="349">
        <v>1</v>
      </c>
      <c r="D143" s="345"/>
      <c r="E143" s="345">
        <f t="shared" si="81"/>
        <v>0</v>
      </c>
      <c r="F143" s="345">
        <f t="shared" si="74"/>
        <v>1.7</v>
      </c>
      <c r="G143" s="345">
        <f t="shared" si="75"/>
        <v>1.8</v>
      </c>
      <c r="H143" s="345">
        <f t="shared" si="68"/>
        <v>0</v>
      </c>
      <c r="I143" s="345">
        <f t="shared" si="76"/>
        <v>0</v>
      </c>
      <c r="J143" s="346">
        <f t="shared" si="77"/>
        <v>0</v>
      </c>
      <c r="K143" s="345">
        <f t="shared" si="69"/>
        <v>0</v>
      </c>
      <c r="L143" s="345">
        <f t="shared" si="78"/>
        <v>0</v>
      </c>
      <c r="M143" s="345">
        <f t="shared" si="70"/>
        <v>0</v>
      </c>
      <c r="N143" s="345">
        <f t="shared" si="79"/>
        <v>0</v>
      </c>
      <c r="O143" s="345">
        <f t="shared" si="80"/>
        <v>0</v>
      </c>
      <c r="P143" s="345">
        <f t="shared" si="71"/>
        <v>0</v>
      </c>
      <c r="Q143" s="433">
        <f t="shared" si="72"/>
        <v>0</v>
      </c>
      <c r="R143" s="347"/>
      <c r="S143" s="348">
        <f>'PLANILHA GERAL'!$J$80</f>
        <v>712.32</v>
      </c>
      <c r="T143" s="348">
        <f>'PLANILHA GERAL'!$J$81</f>
        <v>13.75</v>
      </c>
      <c r="U143" s="348">
        <f>'PLANILHA GERAL'!$J$82</f>
        <v>8.0399999999999991</v>
      </c>
      <c r="V143" s="348">
        <f>'PLANILHA GERAL'!$J$83</f>
        <v>3.45</v>
      </c>
      <c r="W143" s="348">
        <f>'PLANILHA GERAL'!$J$84</f>
        <v>7.35</v>
      </c>
      <c r="X143" s="348">
        <f>'PLANILHA GERAL'!$J$85</f>
        <v>60.59</v>
      </c>
      <c r="Y143" s="348">
        <f>'PLANILHA GERAL'!$J$86</f>
        <v>219.78</v>
      </c>
      <c r="Z143" s="348">
        <f>'PLANILHA GERAL'!$J$87</f>
        <v>22.08</v>
      </c>
      <c r="AA143" s="348">
        <f>'PLANILHA GERAL'!$J$88</f>
        <v>51.71</v>
      </c>
      <c r="AB143" s="348">
        <f>'PLANILHA GERAL'!$J$89</f>
        <v>128.16</v>
      </c>
      <c r="AC143" s="348">
        <f t="shared" si="73"/>
        <v>0</v>
      </c>
    </row>
    <row r="144" spans="1:29" s="331" customFormat="1" ht="45" hidden="1" customHeight="1">
      <c r="A144" s="342">
        <f>DADOS!A23</f>
        <v>0</v>
      </c>
      <c r="B144" s="356">
        <f>DADOS!B23</f>
        <v>0</v>
      </c>
      <c r="C144" s="349">
        <v>1</v>
      </c>
      <c r="D144" s="345"/>
      <c r="E144" s="345">
        <f t="shared" si="81"/>
        <v>0</v>
      </c>
      <c r="F144" s="345">
        <f t="shared" si="74"/>
        <v>1.7</v>
      </c>
      <c r="G144" s="345">
        <f t="shared" si="75"/>
        <v>1.8</v>
      </c>
      <c r="H144" s="345">
        <f t="shared" si="68"/>
        <v>0</v>
      </c>
      <c r="I144" s="345">
        <f t="shared" si="76"/>
        <v>0</v>
      </c>
      <c r="J144" s="346">
        <f t="shared" si="77"/>
        <v>0</v>
      </c>
      <c r="K144" s="345">
        <f t="shared" si="69"/>
        <v>0</v>
      </c>
      <c r="L144" s="345">
        <f t="shared" si="78"/>
        <v>0</v>
      </c>
      <c r="M144" s="345">
        <f t="shared" si="70"/>
        <v>0</v>
      </c>
      <c r="N144" s="345">
        <f t="shared" si="79"/>
        <v>0</v>
      </c>
      <c r="O144" s="345">
        <f t="shared" si="80"/>
        <v>0</v>
      </c>
      <c r="P144" s="345">
        <f t="shared" si="71"/>
        <v>0</v>
      </c>
      <c r="Q144" s="433">
        <f t="shared" si="72"/>
        <v>0</v>
      </c>
      <c r="R144" s="347"/>
      <c r="S144" s="348">
        <f>'PLANILHA GERAL'!$J$80</f>
        <v>712.32</v>
      </c>
      <c r="T144" s="348">
        <f>'PLANILHA GERAL'!$J$81</f>
        <v>13.75</v>
      </c>
      <c r="U144" s="348">
        <f>'PLANILHA GERAL'!$J$82</f>
        <v>8.0399999999999991</v>
      </c>
      <c r="V144" s="348">
        <f>'PLANILHA GERAL'!$J$83</f>
        <v>3.45</v>
      </c>
      <c r="W144" s="348">
        <f>'PLANILHA GERAL'!$J$84</f>
        <v>7.35</v>
      </c>
      <c r="X144" s="348">
        <f>'PLANILHA GERAL'!$J$85</f>
        <v>60.59</v>
      </c>
      <c r="Y144" s="348">
        <f>'PLANILHA GERAL'!$J$86</f>
        <v>219.78</v>
      </c>
      <c r="Z144" s="348">
        <f>'PLANILHA GERAL'!$J$87</f>
        <v>22.08</v>
      </c>
      <c r="AA144" s="348">
        <f>'PLANILHA GERAL'!$J$88</f>
        <v>51.71</v>
      </c>
      <c r="AB144" s="348">
        <f>'PLANILHA GERAL'!$J$89</f>
        <v>128.16</v>
      </c>
      <c r="AC144" s="348">
        <f t="shared" si="73"/>
        <v>0</v>
      </c>
    </row>
    <row r="145" spans="1:29" s="331" customFormat="1" ht="45" hidden="1" customHeight="1">
      <c r="A145" s="342">
        <f>DADOS!A24</f>
        <v>0</v>
      </c>
      <c r="B145" s="356">
        <f>DADOS!B24</f>
        <v>0</v>
      </c>
      <c r="C145" s="349">
        <v>1</v>
      </c>
      <c r="D145" s="345"/>
      <c r="E145" s="345">
        <f t="shared" si="81"/>
        <v>0</v>
      </c>
      <c r="F145" s="345">
        <f t="shared" si="74"/>
        <v>1.7</v>
      </c>
      <c r="G145" s="345">
        <f t="shared" si="75"/>
        <v>1.8</v>
      </c>
      <c r="H145" s="345">
        <f t="shared" si="68"/>
        <v>0</v>
      </c>
      <c r="I145" s="345">
        <f t="shared" si="76"/>
        <v>0</v>
      </c>
      <c r="J145" s="346">
        <f t="shared" si="77"/>
        <v>0</v>
      </c>
      <c r="K145" s="345">
        <f t="shared" si="69"/>
        <v>0</v>
      </c>
      <c r="L145" s="345">
        <f t="shared" si="78"/>
        <v>0</v>
      </c>
      <c r="M145" s="345">
        <f t="shared" si="70"/>
        <v>0</v>
      </c>
      <c r="N145" s="345">
        <f t="shared" si="79"/>
        <v>0</v>
      </c>
      <c r="O145" s="345">
        <f t="shared" si="80"/>
        <v>0</v>
      </c>
      <c r="P145" s="345">
        <f t="shared" si="71"/>
        <v>0</v>
      </c>
      <c r="Q145" s="433">
        <f t="shared" si="72"/>
        <v>0</v>
      </c>
      <c r="R145" s="347"/>
      <c r="S145" s="348">
        <f>'PLANILHA GERAL'!$J$80</f>
        <v>712.32</v>
      </c>
      <c r="T145" s="348">
        <f>'PLANILHA GERAL'!$J$81</f>
        <v>13.75</v>
      </c>
      <c r="U145" s="348">
        <f>'PLANILHA GERAL'!$J$82</f>
        <v>8.0399999999999991</v>
      </c>
      <c r="V145" s="348">
        <f>'PLANILHA GERAL'!$J$83</f>
        <v>3.45</v>
      </c>
      <c r="W145" s="348">
        <f>'PLANILHA GERAL'!$J$84</f>
        <v>7.35</v>
      </c>
      <c r="X145" s="348">
        <f>'PLANILHA GERAL'!$J$85</f>
        <v>60.59</v>
      </c>
      <c r="Y145" s="348">
        <f>'PLANILHA GERAL'!$J$86</f>
        <v>219.78</v>
      </c>
      <c r="Z145" s="348">
        <f>'PLANILHA GERAL'!$J$87</f>
        <v>22.08</v>
      </c>
      <c r="AA145" s="348">
        <f>'PLANILHA GERAL'!$J$88</f>
        <v>51.71</v>
      </c>
      <c r="AB145" s="348">
        <f>'PLANILHA GERAL'!$J$89</f>
        <v>128.16</v>
      </c>
      <c r="AC145" s="348">
        <f t="shared" si="73"/>
        <v>0</v>
      </c>
    </row>
    <row r="146" spans="1:29" s="331" customFormat="1" ht="45" hidden="1" customHeight="1">
      <c r="A146" s="342">
        <f>DADOS!A26</f>
        <v>0</v>
      </c>
      <c r="B146" s="356">
        <f>DADOS!B26</f>
        <v>0</v>
      </c>
      <c r="C146" s="349">
        <v>1</v>
      </c>
      <c r="D146" s="345"/>
      <c r="E146" s="345">
        <f t="shared" si="81"/>
        <v>0</v>
      </c>
      <c r="F146" s="345">
        <f t="shared" si="74"/>
        <v>1.7</v>
      </c>
      <c r="G146" s="345">
        <f t="shared" si="75"/>
        <v>1.8</v>
      </c>
      <c r="H146" s="345">
        <f t="shared" si="68"/>
        <v>0</v>
      </c>
      <c r="I146" s="345">
        <f t="shared" si="76"/>
        <v>0</v>
      </c>
      <c r="J146" s="346">
        <f t="shared" si="77"/>
        <v>0</v>
      </c>
      <c r="K146" s="345">
        <f t="shared" si="69"/>
        <v>0</v>
      </c>
      <c r="L146" s="345">
        <f t="shared" si="78"/>
        <v>0</v>
      </c>
      <c r="M146" s="345">
        <f t="shared" si="70"/>
        <v>0</v>
      </c>
      <c r="N146" s="345">
        <f t="shared" si="79"/>
        <v>0</v>
      </c>
      <c r="O146" s="345">
        <f t="shared" si="80"/>
        <v>0</v>
      </c>
      <c r="P146" s="345">
        <f t="shared" si="71"/>
        <v>0</v>
      </c>
      <c r="Q146" s="433">
        <f t="shared" si="72"/>
        <v>0</v>
      </c>
      <c r="R146" s="347"/>
      <c r="S146" s="348">
        <f>'PLANILHA GERAL'!$J$80</f>
        <v>712.32</v>
      </c>
      <c r="T146" s="348">
        <f>'PLANILHA GERAL'!$J$81</f>
        <v>13.75</v>
      </c>
      <c r="U146" s="348">
        <f>'PLANILHA GERAL'!$J$82</f>
        <v>8.0399999999999991</v>
      </c>
      <c r="V146" s="348">
        <f>'PLANILHA GERAL'!$J$83</f>
        <v>3.45</v>
      </c>
      <c r="W146" s="348">
        <f>'PLANILHA GERAL'!$J$84</f>
        <v>7.35</v>
      </c>
      <c r="X146" s="348">
        <f>'PLANILHA GERAL'!$J$85</f>
        <v>60.59</v>
      </c>
      <c r="Y146" s="348">
        <f>'PLANILHA GERAL'!$J$86</f>
        <v>219.78</v>
      </c>
      <c r="Z146" s="348">
        <f>'PLANILHA GERAL'!$J$87</f>
        <v>22.08</v>
      </c>
      <c r="AA146" s="348">
        <f>'PLANILHA GERAL'!$J$88</f>
        <v>51.71</v>
      </c>
      <c r="AB146" s="348">
        <f>'PLANILHA GERAL'!$J$89</f>
        <v>128.16</v>
      </c>
      <c r="AC146" s="348">
        <f t="shared" si="73"/>
        <v>0</v>
      </c>
    </row>
    <row r="147" spans="1:29" s="331" customFormat="1" ht="45" hidden="1" customHeight="1">
      <c r="A147" s="342">
        <f>DADOS!A27</f>
        <v>0</v>
      </c>
      <c r="B147" s="356">
        <f>DADOS!B27</f>
        <v>0</v>
      </c>
      <c r="C147" s="349">
        <v>1</v>
      </c>
      <c r="D147" s="345"/>
      <c r="E147" s="345">
        <f t="shared" si="81"/>
        <v>0</v>
      </c>
      <c r="F147" s="345">
        <f t="shared" si="74"/>
        <v>1.7</v>
      </c>
      <c r="G147" s="345">
        <f t="shared" si="75"/>
        <v>1.8</v>
      </c>
      <c r="H147" s="345">
        <f t="shared" si="68"/>
        <v>0</v>
      </c>
      <c r="I147" s="345">
        <f t="shared" si="76"/>
        <v>0</v>
      </c>
      <c r="J147" s="346">
        <f t="shared" si="77"/>
        <v>0</v>
      </c>
      <c r="K147" s="345">
        <f t="shared" si="69"/>
        <v>0</v>
      </c>
      <c r="L147" s="345">
        <f t="shared" si="78"/>
        <v>0</v>
      </c>
      <c r="M147" s="345">
        <f t="shared" si="70"/>
        <v>0</v>
      </c>
      <c r="N147" s="345">
        <f t="shared" si="79"/>
        <v>0</v>
      </c>
      <c r="O147" s="345">
        <f t="shared" si="80"/>
        <v>0</v>
      </c>
      <c r="P147" s="345">
        <f t="shared" si="71"/>
        <v>0</v>
      </c>
      <c r="Q147" s="433">
        <f t="shared" si="72"/>
        <v>0</v>
      </c>
      <c r="R147" s="347"/>
      <c r="S147" s="348">
        <f>'PLANILHA GERAL'!$J$80</f>
        <v>712.32</v>
      </c>
      <c r="T147" s="348">
        <f>'PLANILHA GERAL'!$J$81</f>
        <v>13.75</v>
      </c>
      <c r="U147" s="348">
        <f>'PLANILHA GERAL'!$J$82</f>
        <v>8.0399999999999991</v>
      </c>
      <c r="V147" s="348">
        <f>'PLANILHA GERAL'!$J$83</f>
        <v>3.45</v>
      </c>
      <c r="W147" s="348">
        <f>'PLANILHA GERAL'!$J$84</f>
        <v>7.35</v>
      </c>
      <c r="X147" s="348">
        <f>'PLANILHA GERAL'!$J$85</f>
        <v>60.59</v>
      </c>
      <c r="Y147" s="348">
        <f>'PLANILHA GERAL'!$J$86</f>
        <v>219.78</v>
      </c>
      <c r="Z147" s="348">
        <f>'PLANILHA GERAL'!$J$87</f>
        <v>22.08</v>
      </c>
      <c r="AA147" s="348">
        <f>'PLANILHA GERAL'!$J$88</f>
        <v>51.71</v>
      </c>
      <c r="AB147" s="348">
        <f>'PLANILHA GERAL'!$J$89</f>
        <v>128.16</v>
      </c>
      <c r="AC147" s="348">
        <f t="shared" si="73"/>
        <v>0</v>
      </c>
    </row>
    <row r="148" spans="1:29" s="331" customFormat="1" ht="45" hidden="1" customHeight="1">
      <c r="A148" s="342">
        <f>DADOS!A28</f>
        <v>0</v>
      </c>
      <c r="B148" s="356">
        <f>DADOS!B28</f>
        <v>0</v>
      </c>
      <c r="C148" s="349">
        <v>1</v>
      </c>
      <c r="D148" s="345"/>
      <c r="E148" s="345">
        <f t="shared" si="81"/>
        <v>0</v>
      </c>
      <c r="F148" s="345">
        <f t="shared" si="74"/>
        <v>1.7</v>
      </c>
      <c r="G148" s="345">
        <f t="shared" si="75"/>
        <v>1.8</v>
      </c>
      <c r="H148" s="345">
        <f t="shared" si="68"/>
        <v>0</v>
      </c>
      <c r="I148" s="345">
        <f t="shared" si="76"/>
        <v>0</v>
      </c>
      <c r="J148" s="346">
        <f t="shared" si="77"/>
        <v>0</v>
      </c>
      <c r="K148" s="345">
        <f t="shared" si="69"/>
        <v>0</v>
      </c>
      <c r="L148" s="345">
        <f t="shared" si="78"/>
        <v>0</v>
      </c>
      <c r="M148" s="345">
        <f t="shared" si="70"/>
        <v>0</v>
      </c>
      <c r="N148" s="345">
        <f t="shared" si="79"/>
        <v>0</v>
      </c>
      <c r="O148" s="345">
        <f t="shared" si="80"/>
        <v>0</v>
      </c>
      <c r="P148" s="345">
        <f t="shared" si="71"/>
        <v>0</v>
      </c>
      <c r="Q148" s="433">
        <f t="shared" si="72"/>
        <v>0</v>
      </c>
      <c r="R148" s="347"/>
      <c r="S148" s="348">
        <f>'PLANILHA GERAL'!$J$80</f>
        <v>712.32</v>
      </c>
      <c r="T148" s="348">
        <f>'PLANILHA GERAL'!$J$81</f>
        <v>13.75</v>
      </c>
      <c r="U148" s="348">
        <f>'PLANILHA GERAL'!$J$82</f>
        <v>8.0399999999999991</v>
      </c>
      <c r="V148" s="348">
        <f>'PLANILHA GERAL'!$J$83</f>
        <v>3.45</v>
      </c>
      <c r="W148" s="348">
        <f>'PLANILHA GERAL'!$J$84</f>
        <v>7.35</v>
      </c>
      <c r="X148" s="348">
        <f>'PLANILHA GERAL'!$J$85</f>
        <v>60.59</v>
      </c>
      <c r="Y148" s="348">
        <f>'PLANILHA GERAL'!$J$86</f>
        <v>219.78</v>
      </c>
      <c r="Z148" s="348">
        <f>'PLANILHA GERAL'!$J$87</f>
        <v>22.08</v>
      </c>
      <c r="AA148" s="348">
        <f>'PLANILHA GERAL'!$J$88</f>
        <v>51.71</v>
      </c>
      <c r="AB148" s="348">
        <f>'PLANILHA GERAL'!$J$89</f>
        <v>128.16</v>
      </c>
      <c r="AC148" s="348">
        <f t="shared" si="73"/>
        <v>0</v>
      </c>
    </row>
    <row r="149" spans="1:29" s="331" customFormat="1" ht="45" hidden="1" customHeight="1">
      <c r="A149" s="342">
        <f>DADOS!A29</f>
        <v>0</v>
      </c>
      <c r="B149" s="356">
        <f>DADOS!B29</f>
        <v>0</v>
      </c>
      <c r="C149" s="349">
        <v>1</v>
      </c>
      <c r="D149" s="345"/>
      <c r="E149" s="345">
        <f t="shared" si="81"/>
        <v>0</v>
      </c>
      <c r="F149" s="345">
        <f t="shared" si="74"/>
        <v>1.7</v>
      </c>
      <c r="G149" s="345">
        <f t="shared" si="75"/>
        <v>1.8</v>
      </c>
      <c r="H149" s="345">
        <f t="shared" si="68"/>
        <v>0</v>
      </c>
      <c r="I149" s="345">
        <f t="shared" si="76"/>
        <v>0</v>
      </c>
      <c r="J149" s="346">
        <f t="shared" si="77"/>
        <v>0</v>
      </c>
      <c r="K149" s="345">
        <f t="shared" si="69"/>
        <v>0</v>
      </c>
      <c r="L149" s="345">
        <f t="shared" si="78"/>
        <v>0</v>
      </c>
      <c r="M149" s="345">
        <f t="shared" si="70"/>
        <v>0</v>
      </c>
      <c r="N149" s="345">
        <f t="shared" si="79"/>
        <v>0</v>
      </c>
      <c r="O149" s="345">
        <f t="shared" si="80"/>
        <v>0</v>
      </c>
      <c r="P149" s="345">
        <f t="shared" si="71"/>
        <v>0</v>
      </c>
      <c r="Q149" s="433">
        <f t="shared" si="72"/>
        <v>0</v>
      </c>
      <c r="R149" s="347"/>
      <c r="S149" s="348">
        <f>'PLANILHA GERAL'!$J$80</f>
        <v>712.32</v>
      </c>
      <c r="T149" s="348">
        <f>'PLANILHA GERAL'!$J$81</f>
        <v>13.75</v>
      </c>
      <c r="U149" s="348">
        <f>'PLANILHA GERAL'!$J$82</f>
        <v>8.0399999999999991</v>
      </c>
      <c r="V149" s="348">
        <f>'PLANILHA GERAL'!$J$83</f>
        <v>3.45</v>
      </c>
      <c r="W149" s="348">
        <f>'PLANILHA GERAL'!$J$84</f>
        <v>7.35</v>
      </c>
      <c r="X149" s="348">
        <f>'PLANILHA GERAL'!$J$85</f>
        <v>60.59</v>
      </c>
      <c r="Y149" s="348">
        <f>'PLANILHA GERAL'!$J$86</f>
        <v>219.78</v>
      </c>
      <c r="Z149" s="348">
        <f>'PLANILHA GERAL'!$J$87</f>
        <v>22.08</v>
      </c>
      <c r="AA149" s="348">
        <f>'PLANILHA GERAL'!$J$88</f>
        <v>51.71</v>
      </c>
      <c r="AB149" s="348">
        <f>'PLANILHA GERAL'!$J$89</f>
        <v>128.16</v>
      </c>
      <c r="AC149" s="348">
        <f t="shared" si="73"/>
        <v>0</v>
      </c>
    </row>
    <row r="150" spans="1:29" s="331" customFormat="1" ht="45" hidden="1" customHeight="1">
      <c r="A150" s="342">
        <f>DADOS!A30</f>
        <v>0</v>
      </c>
      <c r="B150" s="356">
        <f>DADOS!B30</f>
        <v>0</v>
      </c>
      <c r="C150" s="349">
        <v>1</v>
      </c>
      <c r="D150" s="345"/>
      <c r="E150" s="345">
        <f t="shared" si="81"/>
        <v>0</v>
      </c>
      <c r="F150" s="345">
        <f t="shared" si="74"/>
        <v>1.7</v>
      </c>
      <c r="G150" s="345">
        <f t="shared" si="75"/>
        <v>1.8</v>
      </c>
      <c r="H150" s="345">
        <f t="shared" si="68"/>
        <v>0</v>
      </c>
      <c r="I150" s="345">
        <f t="shared" si="76"/>
        <v>0</v>
      </c>
      <c r="J150" s="346">
        <f t="shared" si="77"/>
        <v>0</v>
      </c>
      <c r="K150" s="345">
        <f t="shared" si="69"/>
        <v>0</v>
      </c>
      <c r="L150" s="345">
        <f t="shared" si="78"/>
        <v>0</v>
      </c>
      <c r="M150" s="345">
        <f t="shared" si="70"/>
        <v>0</v>
      </c>
      <c r="N150" s="345">
        <f t="shared" si="79"/>
        <v>0</v>
      </c>
      <c r="O150" s="345">
        <f t="shared" si="80"/>
        <v>0</v>
      </c>
      <c r="P150" s="345">
        <f t="shared" si="71"/>
        <v>0</v>
      </c>
      <c r="Q150" s="433">
        <f t="shared" si="72"/>
        <v>0</v>
      </c>
      <c r="R150" s="347"/>
      <c r="S150" s="348">
        <f>'PLANILHA GERAL'!$J$80</f>
        <v>712.32</v>
      </c>
      <c r="T150" s="348">
        <f>'PLANILHA GERAL'!$J$81</f>
        <v>13.75</v>
      </c>
      <c r="U150" s="348">
        <f>'PLANILHA GERAL'!$J$82</f>
        <v>8.0399999999999991</v>
      </c>
      <c r="V150" s="348">
        <f>'PLANILHA GERAL'!$J$83</f>
        <v>3.45</v>
      </c>
      <c r="W150" s="348">
        <f>'PLANILHA GERAL'!$J$84</f>
        <v>7.35</v>
      </c>
      <c r="X150" s="348">
        <f>'PLANILHA GERAL'!$J$85</f>
        <v>60.59</v>
      </c>
      <c r="Y150" s="348">
        <f>'PLANILHA GERAL'!$J$86</f>
        <v>219.78</v>
      </c>
      <c r="Z150" s="348">
        <f>'PLANILHA GERAL'!$J$87</f>
        <v>22.08</v>
      </c>
      <c r="AA150" s="348">
        <f>'PLANILHA GERAL'!$J$88</f>
        <v>51.71</v>
      </c>
      <c r="AB150" s="348">
        <f>'PLANILHA GERAL'!$J$89</f>
        <v>128.16</v>
      </c>
      <c r="AC150" s="348">
        <f t="shared" si="73"/>
        <v>0</v>
      </c>
    </row>
    <row r="151" spans="1:29" s="331" customFormat="1" ht="45" hidden="1" customHeight="1">
      <c r="A151" s="342"/>
      <c r="B151" s="356"/>
      <c r="C151" s="349">
        <v>1</v>
      </c>
      <c r="D151" s="345"/>
      <c r="E151" s="345">
        <f t="shared" si="81"/>
        <v>0</v>
      </c>
      <c r="F151" s="345">
        <f t="shared" si="74"/>
        <v>1.7</v>
      </c>
      <c r="G151" s="345">
        <f t="shared" si="75"/>
        <v>1.8</v>
      </c>
      <c r="H151" s="345">
        <f t="shared" si="68"/>
        <v>0</v>
      </c>
      <c r="I151" s="345">
        <f t="shared" si="76"/>
        <v>0</v>
      </c>
      <c r="J151" s="346">
        <f t="shared" si="77"/>
        <v>0</v>
      </c>
      <c r="K151" s="345">
        <f t="shared" si="69"/>
        <v>0</v>
      </c>
      <c r="L151" s="345">
        <f t="shared" si="78"/>
        <v>0</v>
      </c>
      <c r="M151" s="345">
        <f t="shared" si="70"/>
        <v>0</v>
      </c>
      <c r="N151" s="345">
        <f t="shared" si="79"/>
        <v>0</v>
      </c>
      <c r="O151" s="345">
        <f t="shared" si="80"/>
        <v>0</v>
      </c>
      <c r="P151" s="345">
        <f t="shared" si="71"/>
        <v>0</v>
      </c>
      <c r="Q151" s="433">
        <f t="shared" si="72"/>
        <v>0</v>
      </c>
      <c r="R151" s="347"/>
      <c r="S151" s="348">
        <f>'PLANILHA GERAL'!$J$80</f>
        <v>712.32</v>
      </c>
      <c r="T151" s="348">
        <f>'PLANILHA GERAL'!$J$81</f>
        <v>13.75</v>
      </c>
      <c r="U151" s="348">
        <f>'PLANILHA GERAL'!$J$82</f>
        <v>8.0399999999999991</v>
      </c>
      <c r="V151" s="348">
        <f>'PLANILHA GERAL'!$J$83</f>
        <v>3.45</v>
      </c>
      <c r="W151" s="348">
        <f>'PLANILHA GERAL'!$J$84</f>
        <v>7.35</v>
      </c>
      <c r="X151" s="348">
        <f>'PLANILHA GERAL'!$J$85</f>
        <v>60.59</v>
      </c>
      <c r="Y151" s="348">
        <f>'PLANILHA GERAL'!$J$86</f>
        <v>219.78</v>
      </c>
      <c r="Z151" s="348">
        <f>'PLANILHA GERAL'!$J$87</f>
        <v>22.08</v>
      </c>
      <c r="AA151" s="348">
        <f>'PLANILHA GERAL'!$J$88</f>
        <v>51.71</v>
      </c>
      <c r="AB151" s="348">
        <f>'PLANILHA GERAL'!$J$89</f>
        <v>128.16</v>
      </c>
      <c r="AC151" s="348">
        <f t="shared" si="73"/>
        <v>0</v>
      </c>
    </row>
    <row r="152" spans="1:29" s="331" customFormat="1" ht="45" hidden="1" customHeight="1">
      <c r="A152" s="342"/>
      <c r="B152" s="356"/>
      <c r="C152" s="349">
        <v>1</v>
      </c>
      <c r="D152" s="345"/>
      <c r="E152" s="345">
        <f t="shared" si="81"/>
        <v>0</v>
      </c>
      <c r="F152" s="345">
        <f t="shared" si="74"/>
        <v>1.7</v>
      </c>
      <c r="G152" s="345">
        <f t="shared" si="75"/>
        <v>1.8</v>
      </c>
      <c r="H152" s="345">
        <f t="shared" si="68"/>
        <v>0</v>
      </c>
      <c r="I152" s="345">
        <f t="shared" si="76"/>
        <v>0</v>
      </c>
      <c r="J152" s="346">
        <f t="shared" si="77"/>
        <v>0</v>
      </c>
      <c r="K152" s="345">
        <f t="shared" si="69"/>
        <v>0</v>
      </c>
      <c r="L152" s="345">
        <f t="shared" si="78"/>
        <v>0</v>
      </c>
      <c r="M152" s="345">
        <f t="shared" si="70"/>
        <v>0</v>
      </c>
      <c r="N152" s="345">
        <f t="shared" si="79"/>
        <v>0</v>
      </c>
      <c r="O152" s="345">
        <f t="shared" si="80"/>
        <v>0</v>
      </c>
      <c r="P152" s="345">
        <f t="shared" si="71"/>
        <v>0</v>
      </c>
      <c r="Q152" s="433">
        <f t="shared" si="72"/>
        <v>0</v>
      </c>
      <c r="R152" s="347"/>
      <c r="S152" s="348">
        <f>'PLANILHA GERAL'!$J$80</f>
        <v>712.32</v>
      </c>
      <c r="T152" s="348">
        <f>'PLANILHA GERAL'!$J$81</f>
        <v>13.75</v>
      </c>
      <c r="U152" s="348">
        <f>'PLANILHA GERAL'!$J$82</f>
        <v>8.0399999999999991</v>
      </c>
      <c r="V152" s="348">
        <f>'PLANILHA GERAL'!$J$83</f>
        <v>3.45</v>
      </c>
      <c r="W152" s="348">
        <f>'PLANILHA GERAL'!$J$84</f>
        <v>7.35</v>
      </c>
      <c r="X152" s="348">
        <f>'PLANILHA GERAL'!$J$85</f>
        <v>60.59</v>
      </c>
      <c r="Y152" s="348">
        <f>'PLANILHA GERAL'!$J$86</f>
        <v>219.78</v>
      </c>
      <c r="Z152" s="348">
        <f>'PLANILHA GERAL'!$J$87</f>
        <v>22.08</v>
      </c>
      <c r="AA152" s="348">
        <f>'PLANILHA GERAL'!$J$88</f>
        <v>51.71</v>
      </c>
      <c r="AB152" s="348">
        <f>'PLANILHA GERAL'!$J$89</f>
        <v>128.16</v>
      </c>
      <c r="AC152" s="348">
        <f t="shared" si="73"/>
        <v>0</v>
      </c>
    </row>
    <row r="153" spans="1:29" s="331" customFormat="1" ht="45" hidden="1" customHeight="1" thickBot="1">
      <c r="A153" s="342"/>
      <c r="B153" s="356"/>
      <c r="C153" s="349">
        <v>1</v>
      </c>
      <c r="D153" s="345"/>
      <c r="E153" s="345">
        <f t="shared" si="81"/>
        <v>0</v>
      </c>
      <c r="F153" s="345">
        <f t="shared" si="74"/>
        <v>1.7</v>
      </c>
      <c r="G153" s="345">
        <f t="shared" si="75"/>
        <v>1.8</v>
      </c>
      <c r="H153" s="345">
        <f t="shared" si="68"/>
        <v>0</v>
      </c>
      <c r="I153" s="345">
        <f t="shared" si="76"/>
        <v>0</v>
      </c>
      <c r="J153" s="346">
        <f t="shared" si="77"/>
        <v>0</v>
      </c>
      <c r="K153" s="345">
        <f t="shared" si="69"/>
        <v>0</v>
      </c>
      <c r="L153" s="345">
        <f t="shared" si="78"/>
        <v>0</v>
      </c>
      <c r="M153" s="345">
        <f t="shared" si="70"/>
        <v>0</v>
      </c>
      <c r="N153" s="345">
        <f t="shared" si="79"/>
        <v>0</v>
      </c>
      <c r="O153" s="345">
        <f t="shared" si="80"/>
        <v>0</v>
      </c>
      <c r="P153" s="345">
        <f t="shared" si="71"/>
        <v>0</v>
      </c>
      <c r="Q153" s="433">
        <f t="shared" si="72"/>
        <v>0</v>
      </c>
      <c r="R153" s="347"/>
      <c r="S153" s="348">
        <f>'PLANILHA GERAL'!$J$80</f>
        <v>712.32</v>
      </c>
      <c r="T153" s="348">
        <f>'PLANILHA GERAL'!$J$81</f>
        <v>13.75</v>
      </c>
      <c r="U153" s="348">
        <f>'PLANILHA GERAL'!$J$82</f>
        <v>8.0399999999999991</v>
      </c>
      <c r="V153" s="348">
        <f>'PLANILHA GERAL'!$J$83</f>
        <v>3.45</v>
      </c>
      <c r="W153" s="348">
        <f>'PLANILHA GERAL'!$J$84</f>
        <v>7.35</v>
      </c>
      <c r="X153" s="348">
        <f>'PLANILHA GERAL'!$J$85</f>
        <v>60.59</v>
      </c>
      <c r="Y153" s="348">
        <f>'PLANILHA GERAL'!$J$86</f>
        <v>219.78</v>
      </c>
      <c r="Z153" s="348">
        <f>'PLANILHA GERAL'!$J$87</f>
        <v>22.08</v>
      </c>
      <c r="AA153" s="348">
        <f>'PLANILHA GERAL'!$J$88</f>
        <v>51.71</v>
      </c>
      <c r="AB153" s="348">
        <f>'PLANILHA GERAL'!$J$89</f>
        <v>128.16</v>
      </c>
      <c r="AC153" s="348">
        <f t="shared" si="73"/>
        <v>0</v>
      </c>
    </row>
    <row r="154" spans="1:29" s="331" customFormat="1" ht="60" customHeight="1" thickBot="1">
      <c r="A154" s="1610" t="s">
        <v>22</v>
      </c>
      <c r="B154" s="1611"/>
      <c r="C154" s="350"/>
      <c r="D154" s="350"/>
      <c r="E154" s="350">
        <f>SUM(E134:E153)</f>
        <v>450</v>
      </c>
      <c r="F154" s="350"/>
      <c r="G154" s="350"/>
      <c r="H154" s="350">
        <f>SUM(H134:H153)</f>
        <v>2241.4499999999998</v>
      </c>
      <c r="I154" s="350">
        <f>SUM(I134:I153)</f>
        <v>1674.99</v>
      </c>
      <c r="J154" s="350">
        <f t="shared" ref="J154:Q154" si="82">SUM(J134:J153)</f>
        <v>20937.38</v>
      </c>
      <c r="K154" s="350">
        <f t="shared" si="82"/>
        <v>765</v>
      </c>
      <c r="L154" s="350">
        <f t="shared" si="82"/>
        <v>765</v>
      </c>
      <c r="M154" s="350">
        <f t="shared" si="82"/>
        <v>353.25</v>
      </c>
      <c r="N154" s="350">
        <f t="shared" si="82"/>
        <v>1321.74</v>
      </c>
      <c r="O154" s="350">
        <f t="shared" si="82"/>
        <v>566.46</v>
      </c>
      <c r="P154" s="350">
        <f t="shared" si="82"/>
        <v>879</v>
      </c>
      <c r="Q154" s="350">
        <f t="shared" si="82"/>
        <v>450</v>
      </c>
      <c r="R154" s="351"/>
    </row>
    <row r="155" spans="1:29" s="331" customFormat="1" ht="45" customHeight="1">
      <c r="A155" s="436"/>
      <c r="C155" s="355"/>
      <c r="D155" s="355"/>
      <c r="E155" s="355"/>
      <c r="F155" s="355"/>
      <c r="G155" s="355"/>
      <c r="Q155" s="435"/>
    </row>
    <row r="156" spans="1:29" s="331" customFormat="1" ht="45" hidden="1" customHeight="1" thickBot="1">
      <c r="A156" s="1605" t="s">
        <v>425</v>
      </c>
      <c r="B156" s="1606"/>
      <c r="C156" s="1606"/>
      <c r="D156" s="1606"/>
      <c r="E156" s="1606"/>
      <c r="F156" s="1606"/>
      <c r="G156" s="1606"/>
      <c r="H156" s="1606"/>
      <c r="I156" s="1606"/>
      <c r="J156" s="1606"/>
      <c r="K156" s="1606"/>
      <c r="L156" s="1606"/>
      <c r="M156" s="1606"/>
      <c r="N156" s="1606"/>
      <c r="O156" s="1606"/>
      <c r="P156" s="1606"/>
      <c r="Q156" s="1607"/>
      <c r="R156" s="330"/>
    </row>
    <row r="157" spans="1:29" s="331" customFormat="1" ht="45" hidden="1" customHeight="1">
      <c r="A157" s="1612" t="s">
        <v>6</v>
      </c>
      <c r="B157" s="1615" t="s">
        <v>322</v>
      </c>
      <c r="C157" s="1620" t="s">
        <v>496</v>
      </c>
      <c r="D157" s="1620"/>
      <c r="E157" s="1620"/>
      <c r="F157" s="1608" t="s">
        <v>465</v>
      </c>
      <c r="G157" s="1608"/>
      <c r="H157" s="1608"/>
      <c r="I157" s="1608" t="s">
        <v>466</v>
      </c>
      <c r="J157" s="1623" t="s">
        <v>469</v>
      </c>
      <c r="K157" s="1608" t="s">
        <v>314</v>
      </c>
      <c r="L157" s="1608" t="s">
        <v>316</v>
      </c>
      <c r="M157" s="1600" t="s">
        <v>315</v>
      </c>
      <c r="N157" s="1603" t="s">
        <v>467</v>
      </c>
      <c r="O157" s="1603" t="s">
        <v>532</v>
      </c>
      <c r="P157" s="1603" t="s">
        <v>468</v>
      </c>
      <c r="Q157" s="1618" t="s">
        <v>317</v>
      </c>
      <c r="R157" s="330"/>
    </row>
    <row r="158" spans="1:29" s="331" customFormat="1" ht="45" hidden="1" customHeight="1">
      <c r="A158" s="1613"/>
      <c r="B158" s="1616"/>
      <c r="C158" s="1621"/>
      <c r="D158" s="1621"/>
      <c r="E158" s="1621"/>
      <c r="F158" s="1609"/>
      <c r="G158" s="1609"/>
      <c r="H158" s="1609"/>
      <c r="I158" s="1609"/>
      <c r="J158" s="1624"/>
      <c r="K158" s="1609"/>
      <c r="L158" s="1609"/>
      <c r="M158" s="1601"/>
      <c r="N158" s="1604"/>
      <c r="O158" s="1604"/>
      <c r="P158" s="1622"/>
      <c r="Q158" s="1619"/>
      <c r="R158" s="330"/>
    </row>
    <row r="159" spans="1:29" s="331" customFormat="1" ht="45" hidden="1" customHeight="1">
      <c r="A159" s="1613"/>
      <c r="B159" s="1616"/>
      <c r="C159" s="334" t="s">
        <v>148</v>
      </c>
      <c r="D159" s="335" t="s">
        <v>329</v>
      </c>
      <c r="E159" s="334" t="s">
        <v>313</v>
      </c>
      <c r="F159" s="334" t="s">
        <v>307</v>
      </c>
      <c r="G159" s="334" t="s">
        <v>312</v>
      </c>
      <c r="H159" s="334" t="s">
        <v>22</v>
      </c>
      <c r="I159" s="1609"/>
      <c r="J159" s="1624"/>
      <c r="K159" s="1609"/>
      <c r="L159" s="1609"/>
      <c r="M159" s="1602"/>
      <c r="N159" s="334" t="s">
        <v>22</v>
      </c>
      <c r="O159" s="334" t="s">
        <v>22</v>
      </c>
      <c r="P159" s="1604"/>
      <c r="Q159" s="1619"/>
      <c r="R159" s="330"/>
    </row>
    <row r="160" spans="1:29" s="331" customFormat="1" ht="62.1" hidden="1" customHeight="1">
      <c r="A160" s="1613"/>
      <c r="B160" s="1616"/>
      <c r="C160" s="517"/>
      <c r="D160" s="517"/>
      <c r="E160" s="517" t="s">
        <v>50</v>
      </c>
      <c r="F160" s="517" t="s">
        <v>53</v>
      </c>
      <c r="G160" s="517" t="s">
        <v>14</v>
      </c>
      <c r="H160" s="517" t="s">
        <v>667</v>
      </c>
      <c r="I160" s="517" t="s">
        <v>672</v>
      </c>
      <c r="J160" s="516" t="s">
        <v>668</v>
      </c>
      <c r="K160" s="517" t="s">
        <v>669</v>
      </c>
      <c r="L160" s="517" t="s">
        <v>670</v>
      </c>
      <c r="M160" s="517" t="s">
        <v>671</v>
      </c>
      <c r="N160" s="517" t="s">
        <v>673</v>
      </c>
      <c r="O160" s="517" t="s">
        <v>674</v>
      </c>
      <c r="P160" s="517" t="s">
        <v>675</v>
      </c>
      <c r="Q160" s="515" t="s">
        <v>676</v>
      </c>
      <c r="R160" s="330"/>
      <c r="S160" s="1597" t="s">
        <v>482</v>
      </c>
      <c r="T160" s="1598"/>
      <c r="U160" s="1598"/>
      <c r="V160" s="1598"/>
      <c r="W160" s="1598"/>
      <c r="X160" s="1598"/>
      <c r="Y160" s="1598"/>
      <c r="Z160" s="1598"/>
      <c r="AA160" s="1598"/>
      <c r="AB160" s="1598"/>
      <c r="AC160" s="1599"/>
    </row>
    <row r="161" spans="1:29" s="331" customFormat="1" ht="62.1" hidden="1" customHeight="1" thickBot="1">
      <c r="A161" s="1614"/>
      <c r="B161" s="1617"/>
      <c r="C161" s="337" t="s">
        <v>311</v>
      </c>
      <c r="D161" s="337" t="s">
        <v>308</v>
      </c>
      <c r="E161" s="337" t="s">
        <v>308</v>
      </c>
      <c r="F161" s="337" t="s">
        <v>513</v>
      </c>
      <c r="G161" s="339" t="s">
        <v>677</v>
      </c>
      <c r="H161" s="337"/>
      <c r="I161" s="337"/>
      <c r="J161" s="338">
        <v>10</v>
      </c>
      <c r="K161" s="337"/>
      <c r="L161" s="337"/>
      <c r="M161" s="337"/>
      <c r="N161" s="337"/>
      <c r="O161" s="339"/>
      <c r="P161" s="339" t="s">
        <v>530</v>
      </c>
      <c r="Q161" s="432"/>
      <c r="R161" s="340"/>
      <c r="S161" s="335" t="s">
        <v>474</v>
      </c>
      <c r="T161" s="335" t="s">
        <v>475</v>
      </c>
      <c r="U161" s="335" t="s">
        <v>476</v>
      </c>
      <c r="V161" s="335" t="s">
        <v>477</v>
      </c>
      <c r="W161" s="335" t="s">
        <v>478</v>
      </c>
      <c r="X161" s="335" t="s">
        <v>323</v>
      </c>
      <c r="Y161" s="334" t="s">
        <v>467</v>
      </c>
      <c r="Z161" s="334" t="s">
        <v>532</v>
      </c>
      <c r="AA161" s="334" t="s">
        <v>468</v>
      </c>
      <c r="AB161" s="334" t="s">
        <v>317</v>
      </c>
      <c r="AC161" s="341" t="s">
        <v>22</v>
      </c>
    </row>
    <row r="162" spans="1:29" s="331" customFormat="1" ht="45" hidden="1" customHeight="1">
      <c r="A162" s="342">
        <f>DADOS!A12</f>
        <v>1</v>
      </c>
      <c r="B162" s="356"/>
      <c r="C162" s="344">
        <v>1</v>
      </c>
      <c r="D162" s="344"/>
      <c r="E162" s="344">
        <f>C162*D162</f>
        <v>0</v>
      </c>
      <c r="F162" s="345">
        <f>1.44+0.5</f>
        <v>1.94</v>
      </c>
      <c r="G162" s="345">
        <f>((1.44+0.6)+((1.44+0.6)+(E162*0.5%)))/2</f>
        <v>2.04</v>
      </c>
      <c r="H162" s="345">
        <f t="shared" ref="H162:H181" si="83">E162*F162*G162</f>
        <v>0</v>
      </c>
      <c r="I162" s="345">
        <f>M162</f>
        <v>0</v>
      </c>
      <c r="J162" s="346">
        <f>I162*1.25*$J$16</f>
        <v>0</v>
      </c>
      <c r="K162" s="345">
        <f t="shared" ref="K162:K181" si="84">E162*F162</f>
        <v>0</v>
      </c>
      <c r="L162" s="345">
        <f>K162</f>
        <v>0</v>
      </c>
      <c r="M162" s="345">
        <f t="shared" ref="M162:M181" si="85">(3.14*0.6^2)*E162</f>
        <v>0</v>
      </c>
      <c r="N162" s="345">
        <f>(H162-M162)*70%</f>
        <v>0</v>
      </c>
      <c r="O162" s="345">
        <f>(H162-M162)*30%</f>
        <v>0</v>
      </c>
      <c r="P162" s="345">
        <f t="shared" ref="P162:P181" si="86">IF(G162&gt;1.5,D162*G162*2,)</f>
        <v>0</v>
      </c>
      <c r="Q162" s="433">
        <f t="shared" ref="Q162:Q181" si="87">E162</f>
        <v>0</v>
      </c>
      <c r="R162" s="347"/>
      <c r="S162" s="348">
        <f>'PLANILHA GERAL'!$J$90</f>
        <v>1218.02</v>
      </c>
      <c r="T162" s="348">
        <f>'PLANILHA GERAL'!$J$91</f>
        <v>13.75</v>
      </c>
      <c r="U162" s="348">
        <f>'PLANILHA GERAL'!$J$92</f>
        <v>8.0399999999999991</v>
      </c>
      <c r="V162" s="348">
        <f>'PLANILHA GERAL'!$J$93</f>
        <v>3.45</v>
      </c>
      <c r="W162" s="348">
        <f>'PLANILHA GERAL'!$J$94</f>
        <v>7.35</v>
      </c>
      <c r="X162" s="348">
        <f>'PLANILHA GERAL'!$J$95</f>
        <v>60.59</v>
      </c>
      <c r="Y162" s="348">
        <f>'PLANILHA GERAL'!$J$96</f>
        <v>219.78</v>
      </c>
      <c r="Z162" s="348">
        <f>'PLANILHA GERAL'!$J$97</f>
        <v>22.08</v>
      </c>
      <c r="AA162" s="348">
        <f>'PLANILHA GERAL'!$J$98</f>
        <v>51.71</v>
      </c>
      <c r="AB162" s="348">
        <f>'PLANILHA GERAL'!$J$99</f>
        <v>260.13</v>
      </c>
      <c r="AC162" s="348">
        <f t="shared" ref="AC162:AC181" si="88">(E162*S162)+(H162*T162)+(I162*U162)+(J162*V162)+(K162*W162)+(L162*X162)+(N162*Y162)+(O162*Z162)+(P162*AA162)+(Q162*AB162)</f>
        <v>0</v>
      </c>
    </row>
    <row r="163" spans="1:29" s="331" customFormat="1" ht="45" hidden="1" customHeight="1" thickBot="1">
      <c r="A163" s="342">
        <f>DADOS!A13</f>
        <v>2</v>
      </c>
      <c r="B163" s="356"/>
      <c r="C163" s="349">
        <v>1</v>
      </c>
      <c r="D163" s="345"/>
      <c r="E163" s="345">
        <f>C163*D163</f>
        <v>0</v>
      </c>
      <c r="F163" s="345">
        <f t="shared" ref="F163:F181" si="89">1.44+0.5</f>
        <v>1.94</v>
      </c>
      <c r="G163" s="345">
        <f t="shared" ref="G163:G181" si="90">((1.44+0.6)+((1.44+0.6)+(E163*0.5%)))/2</f>
        <v>2.04</v>
      </c>
      <c r="H163" s="345">
        <f t="shared" si="83"/>
        <v>0</v>
      </c>
      <c r="I163" s="345">
        <f t="shared" ref="I163:I181" si="91">M163</f>
        <v>0</v>
      </c>
      <c r="J163" s="346">
        <f t="shared" ref="J163:J181" si="92">I163*1.25*$J$16</f>
        <v>0</v>
      </c>
      <c r="K163" s="345">
        <f t="shared" si="84"/>
        <v>0</v>
      </c>
      <c r="L163" s="345">
        <f t="shared" ref="L163:L181" si="93">K163</f>
        <v>0</v>
      </c>
      <c r="M163" s="345">
        <f t="shared" si="85"/>
        <v>0</v>
      </c>
      <c r="N163" s="345">
        <f t="shared" ref="N163:N181" si="94">(H163-M163)*70%</f>
        <v>0</v>
      </c>
      <c r="O163" s="345">
        <f t="shared" ref="O163:O181" si="95">(H163-M163)*30%</f>
        <v>0</v>
      </c>
      <c r="P163" s="345">
        <f t="shared" si="86"/>
        <v>0</v>
      </c>
      <c r="Q163" s="433">
        <f t="shared" si="87"/>
        <v>0</v>
      </c>
      <c r="R163" s="347"/>
      <c r="S163" s="348">
        <f>'PLANILHA GERAL'!$J$90</f>
        <v>1218.02</v>
      </c>
      <c r="T163" s="348">
        <f>'PLANILHA GERAL'!$J$91</f>
        <v>13.75</v>
      </c>
      <c r="U163" s="348">
        <f>'PLANILHA GERAL'!$J$92</f>
        <v>8.0399999999999991</v>
      </c>
      <c r="V163" s="348">
        <f>'PLANILHA GERAL'!$J$93</f>
        <v>3.45</v>
      </c>
      <c r="W163" s="348">
        <f>'PLANILHA GERAL'!$J$94</f>
        <v>7.35</v>
      </c>
      <c r="X163" s="348">
        <f>'PLANILHA GERAL'!$J$95</f>
        <v>60.59</v>
      </c>
      <c r="Y163" s="348">
        <f>'PLANILHA GERAL'!$J$96</f>
        <v>219.78</v>
      </c>
      <c r="Z163" s="348">
        <f>'PLANILHA GERAL'!$J$97</f>
        <v>22.08</v>
      </c>
      <c r="AA163" s="348">
        <f>'PLANILHA GERAL'!$J$98</f>
        <v>51.71</v>
      </c>
      <c r="AB163" s="348">
        <f>'PLANILHA GERAL'!$J$99</f>
        <v>260.13</v>
      </c>
      <c r="AC163" s="348">
        <f t="shared" si="88"/>
        <v>0</v>
      </c>
    </row>
    <row r="164" spans="1:29" s="331" customFormat="1" ht="45" hidden="1" customHeight="1">
      <c r="A164" s="342">
        <f>DADOS!A14</f>
        <v>0</v>
      </c>
      <c r="B164" s="356">
        <f>DADOS!B14</f>
        <v>0</v>
      </c>
      <c r="C164" s="349">
        <v>1</v>
      </c>
      <c r="D164" s="345"/>
      <c r="E164" s="345">
        <f t="shared" ref="E164:E181" si="96">C164*D164</f>
        <v>0</v>
      </c>
      <c r="F164" s="345">
        <f t="shared" si="89"/>
        <v>1.94</v>
      </c>
      <c r="G164" s="345">
        <f t="shared" si="90"/>
        <v>2.04</v>
      </c>
      <c r="H164" s="345">
        <f t="shared" si="83"/>
        <v>0</v>
      </c>
      <c r="I164" s="345">
        <f t="shared" si="91"/>
        <v>0</v>
      </c>
      <c r="J164" s="346">
        <f t="shared" si="92"/>
        <v>0</v>
      </c>
      <c r="K164" s="345">
        <f t="shared" si="84"/>
        <v>0</v>
      </c>
      <c r="L164" s="345">
        <f t="shared" si="93"/>
        <v>0</v>
      </c>
      <c r="M164" s="345">
        <f t="shared" si="85"/>
        <v>0</v>
      </c>
      <c r="N164" s="345">
        <f t="shared" si="94"/>
        <v>0</v>
      </c>
      <c r="O164" s="345">
        <f t="shared" si="95"/>
        <v>0</v>
      </c>
      <c r="P164" s="345">
        <f t="shared" si="86"/>
        <v>0</v>
      </c>
      <c r="Q164" s="433">
        <f t="shared" si="87"/>
        <v>0</v>
      </c>
      <c r="R164" s="347"/>
      <c r="S164" s="348">
        <f>'PLANILHA GERAL'!$J$90</f>
        <v>1218.02</v>
      </c>
      <c r="T164" s="348">
        <f>'PLANILHA GERAL'!$J$91</f>
        <v>13.75</v>
      </c>
      <c r="U164" s="348">
        <f>'PLANILHA GERAL'!$J$92</f>
        <v>8.0399999999999991</v>
      </c>
      <c r="V164" s="348">
        <f>'PLANILHA GERAL'!$J$93</f>
        <v>3.45</v>
      </c>
      <c r="W164" s="348">
        <f>'PLANILHA GERAL'!$J$94</f>
        <v>7.35</v>
      </c>
      <c r="X164" s="348">
        <f>'PLANILHA GERAL'!$J$95</f>
        <v>60.59</v>
      </c>
      <c r="Y164" s="348">
        <f>'PLANILHA GERAL'!$J$96</f>
        <v>219.78</v>
      </c>
      <c r="Z164" s="348">
        <f>'PLANILHA GERAL'!$J$97</f>
        <v>22.08</v>
      </c>
      <c r="AA164" s="348">
        <f>'PLANILHA GERAL'!$J$98</f>
        <v>51.71</v>
      </c>
      <c r="AB164" s="348">
        <f>'PLANILHA GERAL'!$J$99</f>
        <v>260.13</v>
      </c>
      <c r="AC164" s="348">
        <f t="shared" si="88"/>
        <v>0</v>
      </c>
    </row>
    <row r="165" spans="1:29" s="331" customFormat="1" ht="45" hidden="1" customHeight="1">
      <c r="A165" s="342">
        <f>DADOS!A15</f>
        <v>0</v>
      </c>
      <c r="B165" s="356">
        <f>DADOS!B15</f>
        <v>0</v>
      </c>
      <c r="C165" s="349">
        <v>1</v>
      </c>
      <c r="D165" s="345"/>
      <c r="E165" s="345">
        <f t="shared" si="96"/>
        <v>0</v>
      </c>
      <c r="F165" s="345">
        <f t="shared" si="89"/>
        <v>1.94</v>
      </c>
      <c r="G165" s="345">
        <f t="shared" si="90"/>
        <v>2.04</v>
      </c>
      <c r="H165" s="345">
        <f t="shared" si="83"/>
        <v>0</v>
      </c>
      <c r="I165" s="345">
        <f t="shared" si="91"/>
        <v>0</v>
      </c>
      <c r="J165" s="346">
        <f t="shared" si="92"/>
        <v>0</v>
      </c>
      <c r="K165" s="345">
        <f t="shared" si="84"/>
        <v>0</v>
      </c>
      <c r="L165" s="345">
        <f t="shared" si="93"/>
        <v>0</v>
      </c>
      <c r="M165" s="345">
        <f t="shared" si="85"/>
        <v>0</v>
      </c>
      <c r="N165" s="345">
        <f t="shared" si="94"/>
        <v>0</v>
      </c>
      <c r="O165" s="345">
        <f t="shared" si="95"/>
        <v>0</v>
      </c>
      <c r="P165" s="345">
        <f t="shared" si="86"/>
        <v>0</v>
      </c>
      <c r="Q165" s="433">
        <f t="shared" si="87"/>
        <v>0</v>
      </c>
      <c r="R165" s="347"/>
      <c r="S165" s="348">
        <f>'PLANILHA GERAL'!$J$90</f>
        <v>1218.02</v>
      </c>
      <c r="T165" s="348">
        <f>'PLANILHA GERAL'!$J$91</f>
        <v>13.75</v>
      </c>
      <c r="U165" s="348">
        <f>'PLANILHA GERAL'!$J$92</f>
        <v>8.0399999999999991</v>
      </c>
      <c r="V165" s="348">
        <f>'PLANILHA GERAL'!$J$93</f>
        <v>3.45</v>
      </c>
      <c r="W165" s="348">
        <f>'PLANILHA GERAL'!$J$94</f>
        <v>7.35</v>
      </c>
      <c r="X165" s="348">
        <f>'PLANILHA GERAL'!$J$95</f>
        <v>60.59</v>
      </c>
      <c r="Y165" s="348">
        <f>'PLANILHA GERAL'!$J$96</f>
        <v>219.78</v>
      </c>
      <c r="Z165" s="348">
        <f>'PLANILHA GERAL'!$J$97</f>
        <v>22.08</v>
      </c>
      <c r="AA165" s="348">
        <f>'PLANILHA GERAL'!$J$98</f>
        <v>51.71</v>
      </c>
      <c r="AB165" s="348">
        <f>'PLANILHA GERAL'!$J$99</f>
        <v>260.13</v>
      </c>
      <c r="AC165" s="348">
        <f t="shared" si="88"/>
        <v>0</v>
      </c>
    </row>
    <row r="166" spans="1:29" s="331" customFormat="1" ht="45" hidden="1" customHeight="1">
      <c r="A166" s="342">
        <f>DADOS!A16</f>
        <v>0</v>
      </c>
      <c r="B166" s="356">
        <f>DADOS!B16</f>
        <v>0</v>
      </c>
      <c r="C166" s="349">
        <v>1</v>
      </c>
      <c r="D166" s="345"/>
      <c r="E166" s="345">
        <f t="shared" si="96"/>
        <v>0</v>
      </c>
      <c r="F166" s="345">
        <f t="shared" si="89"/>
        <v>1.94</v>
      </c>
      <c r="G166" s="345">
        <f t="shared" si="90"/>
        <v>2.04</v>
      </c>
      <c r="H166" s="345">
        <f t="shared" si="83"/>
        <v>0</v>
      </c>
      <c r="I166" s="345">
        <f t="shared" si="91"/>
        <v>0</v>
      </c>
      <c r="J166" s="346">
        <f t="shared" si="92"/>
        <v>0</v>
      </c>
      <c r="K166" s="345">
        <f t="shared" si="84"/>
        <v>0</v>
      </c>
      <c r="L166" s="345">
        <f t="shared" si="93"/>
        <v>0</v>
      </c>
      <c r="M166" s="345">
        <f t="shared" si="85"/>
        <v>0</v>
      </c>
      <c r="N166" s="345">
        <f t="shared" si="94"/>
        <v>0</v>
      </c>
      <c r="O166" s="345">
        <f t="shared" si="95"/>
        <v>0</v>
      </c>
      <c r="P166" s="345">
        <f t="shared" si="86"/>
        <v>0</v>
      </c>
      <c r="Q166" s="433">
        <f t="shared" si="87"/>
        <v>0</v>
      </c>
      <c r="R166" s="347"/>
      <c r="S166" s="348">
        <f>'PLANILHA GERAL'!$J$90</f>
        <v>1218.02</v>
      </c>
      <c r="T166" s="348">
        <f>'PLANILHA GERAL'!$J$91</f>
        <v>13.75</v>
      </c>
      <c r="U166" s="348">
        <f>'PLANILHA GERAL'!$J$92</f>
        <v>8.0399999999999991</v>
      </c>
      <c r="V166" s="348">
        <f>'PLANILHA GERAL'!$J$93</f>
        <v>3.45</v>
      </c>
      <c r="W166" s="348">
        <f>'PLANILHA GERAL'!$J$94</f>
        <v>7.35</v>
      </c>
      <c r="X166" s="348">
        <f>'PLANILHA GERAL'!$J$95</f>
        <v>60.59</v>
      </c>
      <c r="Y166" s="348">
        <f>'PLANILHA GERAL'!$J$96</f>
        <v>219.78</v>
      </c>
      <c r="Z166" s="348">
        <f>'PLANILHA GERAL'!$J$97</f>
        <v>22.08</v>
      </c>
      <c r="AA166" s="348">
        <f>'PLANILHA GERAL'!$J$98</f>
        <v>51.71</v>
      </c>
      <c r="AB166" s="348">
        <f>'PLANILHA GERAL'!$J$99</f>
        <v>260.13</v>
      </c>
      <c r="AC166" s="348">
        <f t="shared" si="88"/>
        <v>0</v>
      </c>
    </row>
    <row r="167" spans="1:29" s="331" customFormat="1" ht="45" hidden="1" customHeight="1">
      <c r="A167" s="342">
        <f>DADOS!A17</f>
        <v>0</v>
      </c>
      <c r="B167" s="356">
        <f>DADOS!B17</f>
        <v>0</v>
      </c>
      <c r="C167" s="349">
        <v>1</v>
      </c>
      <c r="D167" s="345"/>
      <c r="E167" s="345">
        <f t="shared" si="96"/>
        <v>0</v>
      </c>
      <c r="F167" s="345">
        <f t="shared" si="89"/>
        <v>1.94</v>
      </c>
      <c r="G167" s="345">
        <f t="shared" si="90"/>
        <v>2.04</v>
      </c>
      <c r="H167" s="345">
        <f t="shared" si="83"/>
        <v>0</v>
      </c>
      <c r="I167" s="345">
        <f t="shared" si="91"/>
        <v>0</v>
      </c>
      <c r="J167" s="346">
        <f t="shared" si="92"/>
        <v>0</v>
      </c>
      <c r="K167" s="345">
        <f t="shared" si="84"/>
        <v>0</v>
      </c>
      <c r="L167" s="345">
        <f t="shared" si="93"/>
        <v>0</v>
      </c>
      <c r="M167" s="345">
        <f t="shared" si="85"/>
        <v>0</v>
      </c>
      <c r="N167" s="345">
        <f t="shared" si="94"/>
        <v>0</v>
      </c>
      <c r="O167" s="345">
        <f t="shared" si="95"/>
        <v>0</v>
      </c>
      <c r="P167" s="345">
        <f t="shared" si="86"/>
        <v>0</v>
      </c>
      <c r="Q167" s="433">
        <f t="shared" si="87"/>
        <v>0</v>
      </c>
      <c r="R167" s="347"/>
      <c r="S167" s="348">
        <f>'PLANILHA GERAL'!$J$90</f>
        <v>1218.02</v>
      </c>
      <c r="T167" s="348">
        <f>'PLANILHA GERAL'!$J$91</f>
        <v>13.75</v>
      </c>
      <c r="U167" s="348">
        <f>'PLANILHA GERAL'!$J$92</f>
        <v>8.0399999999999991</v>
      </c>
      <c r="V167" s="348">
        <f>'PLANILHA GERAL'!$J$93</f>
        <v>3.45</v>
      </c>
      <c r="W167" s="348">
        <f>'PLANILHA GERAL'!$J$94</f>
        <v>7.35</v>
      </c>
      <c r="X167" s="348">
        <f>'PLANILHA GERAL'!$J$95</f>
        <v>60.59</v>
      </c>
      <c r="Y167" s="348">
        <f>'PLANILHA GERAL'!$J$96</f>
        <v>219.78</v>
      </c>
      <c r="Z167" s="348">
        <f>'PLANILHA GERAL'!$J$97</f>
        <v>22.08</v>
      </c>
      <c r="AA167" s="348">
        <f>'PLANILHA GERAL'!$J$98</f>
        <v>51.71</v>
      </c>
      <c r="AB167" s="348">
        <f>'PLANILHA GERAL'!$J$99</f>
        <v>260.13</v>
      </c>
      <c r="AC167" s="348">
        <f t="shared" si="88"/>
        <v>0</v>
      </c>
    </row>
    <row r="168" spans="1:29" s="331" customFormat="1" ht="45" hidden="1" customHeight="1">
      <c r="A168" s="342">
        <f>DADOS!A18</f>
        <v>0</v>
      </c>
      <c r="B168" s="356">
        <f>DADOS!B18</f>
        <v>0</v>
      </c>
      <c r="C168" s="349">
        <v>1</v>
      </c>
      <c r="D168" s="345"/>
      <c r="E168" s="345">
        <f t="shared" si="96"/>
        <v>0</v>
      </c>
      <c r="F168" s="345">
        <f t="shared" si="89"/>
        <v>1.94</v>
      </c>
      <c r="G168" s="345">
        <f t="shared" si="90"/>
        <v>2.04</v>
      </c>
      <c r="H168" s="345">
        <f t="shared" si="83"/>
        <v>0</v>
      </c>
      <c r="I168" s="345">
        <f t="shared" si="91"/>
        <v>0</v>
      </c>
      <c r="J168" s="346">
        <f t="shared" si="92"/>
        <v>0</v>
      </c>
      <c r="K168" s="345">
        <f t="shared" si="84"/>
        <v>0</v>
      </c>
      <c r="L168" s="345">
        <f t="shared" si="93"/>
        <v>0</v>
      </c>
      <c r="M168" s="345">
        <f t="shared" si="85"/>
        <v>0</v>
      </c>
      <c r="N168" s="345">
        <f t="shared" si="94"/>
        <v>0</v>
      </c>
      <c r="O168" s="345">
        <f t="shared" si="95"/>
        <v>0</v>
      </c>
      <c r="P168" s="345">
        <f t="shared" si="86"/>
        <v>0</v>
      </c>
      <c r="Q168" s="433">
        <f t="shared" si="87"/>
        <v>0</v>
      </c>
      <c r="R168" s="347"/>
      <c r="S168" s="348">
        <f>'PLANILHA GERAL'!$J$90</f>
        <v>1218.02</v>
      </c>
      <c r="T168" s="348">
        <f>'PLANILHA GERAL'!$J$91</f>
        <v>13.75</v>
      </c>
      <c r="U168" s="348">
        <f>'PLANILHA GERAL'!$J$92</f>
        <v>8.0399999999999991</v>
      </c>
      <c r="V168" s="348">
        <f>'PLANILHA GERAL'!$J$93</f>
        <v>3.45</v>
      </c>
      <c r="W168" s="348">
        <f>'PLANILHA GERAL'!$J$94</f>
        <v>7.35</v>
      </c>
      <c r="X168" s="348">
        <f>'PLANILHA GERAL'!$J$95</f>
        <v>60.59</v>
      </c>
      <c r="Y168" s="348">
        <f>'PLANILHA GERAL'!$J$96</f>
        <v>219.78</v>
      </c>
      <c r="Z168" s="348">
        <f>'PLANILHA GERAL'!$J$97</f>
        <v>22.08</v>
      </c>
      <c r="AA168" s="348">
        <f>'PLANILHA GERAL'!$J$98</f>
        <v>51.71</v>
      </c>
      <c r="AB168" s="348">
        <f>'PLANILHA GERAL'!$J$99</f>
        <v>260.13</v>
      </c>
      <c r="AC168" s="348">
        <f t="shared" si="88"/>
        <v>0</v>
      </c>
    </row>
    <row r="169" spans="1:29" s="331" customFormat="1" ht="45" hidden="1" customHeight="1">
      <c r="A169" s="342">
        <f>DADOS!A20</f>
        <v>0</v>
      </c>
      <c r="B169" s="356">
        <f>DADOS!B20</f>
        <v>0</v>
      </c>
      <c r="C169" s="349">
        <v>1</v>
      </c>
      <c r="D169" s="345"/>
      <c r="E169" s="345">
        <f t="shared" si="96"/>
        <v>0</v>
      </c>
      <c r="F169" s="345">
        <f t="shared" si="89"/>
        <v>1.94</v>
      </c>
      <c r="G169" s="345">
        <f t="shared" si="90"/>
        <v>2.04</v>
      </c>
      <c r="H169" s="345">
        <f t="shared" si="83"/>
        <v>0</v>
      </c>
      <c r="I169" s="345">
        <f t="shared" si="91"/>
        <v>0</v>
      </c>
      <c r="J169" s="346">
        <f t="shared" si="92"/>
        <v>0</v>
      </c>
      <c r="K169" s="345">
        <f t="shared" si="84"/>
        <v>0</v>
      </c>
      <c r="L169" s="345">
        <f t="shared" si="93"/>
        <v>0</v>
      </c>
      <c r="M169" s="345">
        <f t="shared" si="85"/>
        <v>0</v>
      </c>
      <c r="N169" s="345">
        <f t="shared" si="94"/>
        <v>0</v>
      </c>
      <c r="O169" s="345">
        <f t="shared" si="95"/>
        <v>0</v>
      </c>
      <c r="P169" s="345">
        <f t="shared" si="86"/>
        <v>0</v>
      </c>
      <c r="Q169" s="433">
        <f t="shared" si="87"/>
        <v>0</v>
      </c>
      <c r="R169" s="347"/>
      <c r="S169" s="348">
        <f>'PLANILHA GERAL'!$J$90</f>
        <v>1218.02</v>
      </c>
      <c r="T169" s="348">
        <f>'PLANILHA GERAL'!$J$91</f>
        <v>13.75</v>
      </c>
      <c r="U169" s="348">
        <f>'PLANILHA GERAL'!$J$92</f>
        <v>8.0399999999999991</v>
      </c>
      <c r="V169" s="348">
        <f>'PLANILHA GERAL'!$J$93</f>
        <v>3.45</v>
      </c>
      <c r="W169" s="348">
        <f>'PLANILHA GERAL'!$J$94</f>
        <v>7.35</v>
      </c>
      <c r="X169" s="348">
        <f>'PLANILHA GERAL'!$J$95</f>
        <v>60.59</v>
      </c>
      <c r="Y169" s="348">
        <f>'PLANILHA GERAL'!$J$96</f>
        <v>219.78</v>
      </c>
      <c r="Z169" s="348">
        <f>'PLANILHA GERAL'!$J$97</f>
        <v>22.08</v>
      </c>
      <c r="AA169" s="348">
        <f>'PLANILHA GERAL'!$J$98</f>
        <v>51.71</v>
      </c>
      <c r="AB169" s="348">
        <f>'PLANILHA GERAL'!$J$99</f>
        <v>260.13</v>
      </c>
      <c r="AC169" s="348">
        <f t="shared" si="88"/>
        <v>0</v>
      </c>
    </row>
    <row r="170" spans="1:29" s="331" customFormat="1" ht="45" hidden="1" customHeight="1">
      <c r="A170" s="342">
        <f>DADOS!A21</f>
        <v>0</v>
      </c>
      <c r="B170" s="356">
        <f>DADOS!B21</f>
        <v>0</v>
      </c>
      <c r="C170" s="349">
        <v>1</v>
      </c>
      <c r="D170" s="345"/>
      <c r="E170" s="345">
        <f t="shared" si="96"/>
        <v>0</v>
      </c>
      <c r="F170" s="345">
        <f t="shared" si="89"/>
        <v>1.94</v>
      </c>
      <c r="G170" s="345">
        <f t="shared" si="90"/>
        <v>2.04</v>
      </c>
      <c r="H170" s="345">
        <f t="shared" si="83"/>
        <v>0</v>
      </c>
      <c r="I170" s="345">
        <f t="shared" si="91"/>
        <v>0</v>
      </c>
      <c r="J170" s="346">
        <f t="shared" si="92"/>
        <v>0</v>
      </c>
      <c r="K170" s="345">
        <f t="shared" si="84"/>
        <v>0</v>
      </c>
      <c r="L170" s="345">
        <f t="shared" si="93"/>
        <v>0</v>
      </c>
      <c r="M170" s="345">
        <f t="shared" si="85"/>
        <v>0</v>
      </c>
      <c r="N170" s="345">
        <f t="shared" si="94"/>
        <v>0</v>
      </c>
      <c r="O170" s="345">
        <f t="shared" si="95"/>
        <v>0</v>
      </c>
      <c r="P170" s="345">
        <f t="shared" si="86"/>
        <v>0</v>
      </c>
      <c r="Q170" s="433">
        <f t="shared" si="87"/>
        <v>0</v>
      </c>
      <c r="R170" s="347"/>
      <c r="S170" s="348">
        <f>'PLANILHA GERAL'!$J$90</f>
        <v>1218.02</v>
      </c>
      <c r="T170" s="348">
        <f>'PLANILHA GERAL'!$J$91</f>
        <v>13.75</v>
      </c>
      <c r="U170" s="348">
        <f>'PLANILHA GERAL'!$J$92</f>
        <v>8.0399999999999991</v>
      </c>
      <c r="V170" s="348">
        <f>'PLANILHA GERAL'!$J$93</f>
        <v>3.45</v>
      </c>
      <c r="W170" s="348">
        <f>'PLANILHA GERAL'!$J$94</f>
        <v>7.35</v>
      </c>
      <c r="X170" s="348">
        <f>'PLANILHA GERAL'!$J$95</f>
        <v>60.59</v>
      </c>
      <c r="Y170" s="348">
        <f>'PLANILHA GERAL'!$J$96</f>
        <v>219.78</v>
      </c>
      <c r="Z170" s="348">
        <f>'PLANILHA GERAL'!$J$97</f>
        <v>22.08</v>
      </c>
      <c r="AA170" s="348">
        <f>'PLANILHA GERAL'!$J$98</f>
        <v>51.71</v>
      </c>
      <c r="AB170" s="348">
        <f>'PLANILHA GERAL'!$J$99</f>
        <v>260.13</v>
      </c>
      <c r="AC170" s="348">
        <f t="shared" si="88"/>
        <v>0</v>
      </c>
    </row>
    <row r="171" spans="1:29" s="331" customFormat="1" ht="45" hidden="1" customHeight="1">
      <c r="A171" s="342">
        <f>DADOS!A22</f>
        <v>0</v>
      </c>
      <c r="B171" s="356">
        <f>DADOS!B22</f>
        <v>0</v>
      </c>
      <c r="C171" s="349">
        <v>1</v>
      </c>
      <c r="D171" s="345"/>
      <c r="E171" s="345">
        <f t="shared" si="96"/>
        <v>0</v>
      </c>
      <c r="F171" s="345">
        <f t="shared" si="89"/>
        <v>1.94</v>
      </c>
      <c r="G171" s="345">
        <f t="shared" si="90"/>
        <v>2.04</v>
      </c>
      <c r="H171" s="345">
        <f t="shared" si="83"/>
        <v>0</v>
      </c>
      <c r="I171" s="345">
        <f t="shared" si="91"/>
        <v>0</v>
      </c>
      <c r="J171" s="346">
        <f t="shared" si="92"/>
        <v>0</v>
      </c>
      <c r="K171" s="345">
        <f t="shared" si="84"/>
        <v>0</v>
      </c>
      <c r="L171" s="345">
        <f t="shared" si="93"/>
        <v>0</v>
      </c>
      <c r="M171" s="345">
        <f t="shared" si="85"/>
        <v>0</v>
      </c>
      <c r="N171" s="345">
        <f t="shared" si="94"/>
        <v>0</v>
      </c>
      <c r="O171" s="345">
        <f t="shared" si="95"/>
        <v>0</v>
      </c>
      <c r="P171" s="345">
        <f t="shared" si="86"/>
        <v>0</v>
      </c>
      <c r="Q171" s="433">
        <f t="shared" si="87"/>
        <v>0</v>
      </c>
      <c r="R171" s="347"/>
      <c r="S171" s="348">
        <f>'PLANILHA GERAL'!$J$90</f>
        <v>1218.02</v>
      </c>
      <c r="T171" s="348">
        <f>'PLANILHA GERAL'!$J$91</f>
        <v>13.75</v>
      </c>
      <c r="U171" s="348">
        <f>'PLANILHA GERAL'!$J$92</f>
        <v>8.0399999999999991</v>
      </c>
      <c r="V171" s="348">
        <f>'PLANILHA GERAL'!$J$93</f>
        <v>3.45</v>
      </c>
      <c r="W171" s="348">
        <f>'PLANILHA GERAL'!$J$94</f>
        <v>7.35</v>
      </c>
      <c r="X171" s="348">
        <f>'PLANILHA GERAL'!$J$95</f>
        <v>60.59</v>
      </c>
      <c r="Y171" s="348">
        <f>'PLANILHA GERAL'!$J$96</f>
        <v>219.78</v>
      </c>
      <c r="Z171" s="348">
        <f>'PLANILHA GERAL'!$J$97</f>
        <v>22.08</v>
      </c>
      <c r="AA171" s="348">
        <f>'PLANILHA GERAL'!$J$98</f>
        <v>51.71</v>
      </c>
      <c r="AB171" s="348">
        <f>'PLANILHA GERAL'!$J$99</f>
        <v>260.13</v>
      </c>
      <c r="AC171" s="348">
        <f t="shared" si="88"/>
        <v>0</v>
      </c>
    </row>
    <row r="172" spans="1:29" s="331" customFormat="1" ht="45" hidden="1" customHeight="1">
      <c r="A172" s="342">
        <f>DADOS!A23</f>
        <v>0</v>
      </c>
      <c r="B172" s="356">
        <f>DADOS!B23</f>
        <v>0</v>
      </c>
      <c r="C172" s="349">
        <v>1</v>
      </c>
      <c r="D172" s="345"/>
      <c r="E172" s="345">
        <f t="shared" si="96"/>
        <v>0</v>
      </c>
      <c r="F172" s="345">
        <f t="shared" si="89"/>
        <v>1.94</v>
      </c>
      <c r="G172" s="345">
        <f t="shared" si="90"/>
        <v>2.04</v>
      </c>
      <c r="H172" s="345">
        <f t="shared" si="83"/>
        <v>0</v>
      </c>
      <c r="I172" s="345">
        <f t="shared" si="91"/>
        <v>0</v>
      </c>
      <c r="J172" s="346">
        <f t="shared" si="92"/>
        <v>0</v>
      </c>
      <c r="K172" s="345">
        <f t="shared" si="84"/>
        <v>0</v>
      </c>
      <c r="L172" s="345">
        <f t="shared" si="93"/>
        <v>0</v>
      </c>
      <c r="M172" s="345">
        <f t="shared" si="85"/>
        <v>0</v>
      </c>
      <c r="N172" s="345">
        <f t="shared" si="94"/>
        <v>0</v>
      </c>
      <c r="O172" s="345">
        <f t="shared" si="95"/>
        <v>0</v>
      </c>
      <c r="P172" s="345">
        <f t="shared" si="86"/>
        <v>0</v>
      </c>
      <c r="Q172" s="433">
        <f t="shared" si="87"/>
        <v>0</v>
      </c>
      <c r="R172" s="347"/>
      <c r="S172" s="348">
        <f>'PLANILHA GERAL'!$J$90</f>
        <v>1218.02</v>
      </c>
      <c r="T172" s="348">
        <f>'PLANILHA GERAL'!$J$91</f>
        <v>13.75</v>
      </c>
      <c r="U172" s="348">
        <f>'PLANILHA GERAL'!$J$92</f>
        <v>8.0399999999999991</v>
      </c>
      <c r="V172" s="348">
        <f>'PLANILHA GERAL'!$J$93</f>
        <v>3.45</v>
      </c>
      <c r="W172" s="348">
        <f>'PLANILHA GERAL'!$J$94</f>
        <v>7.35</v>
      </c>
      <c r="X172" s="348">
        <f>'PLANILHA GERAL'!$J$95</f>
        <v>60.59</v>
      </c>
      <c r="Y172" s="348">
        <f>'PLANILHA GERAL'!$J$96</f>
        <v>219.78</v>
      </c>
      <c r="Z172" s="348">
        <f>'PLANILHA GERAL'!$J$97</f>
        <v>22.08</v>
      </c>
      <c r="AA172" s="348">
        <f>'PLANILHA GERAL'!$J$98</f>
        <v>51.71</v>
      </c>
      <c r="AB172" s="348">
        <f>'PLANILHA GERAL'!$J$99</f>
        <v>260.13</v>
      </c>
      <c r="AC172" s="348">
        <f t="shared" si="88"/>
        <v>0</v>
      </c>
    </row>
    <row r="173" spans="1:29" s="331" customFormat="1" ht="45" hidden="1" customHeight="1">
      <c r="A173" s="342">
        <f>DADOS!A24</f>
        <v>0</v>
      </c>
      <c r="B173" s="356">
        <f>DADOS!B24</f>
        <v>0</v>
      </c>
      <c r="C173" s="349">
        <v>1</v>
      </c>
      <c r="D173" s="345"/>
      <c r="E173" s="345">
        <f t="shared" si="96"/>
        <v>0</v>
      </c>
      <c r="F173" s="345">
        <f t="shared" si="89"/>
        <v>1.94</v>
      </c>
      <c r="G173" s="345">
        <f t="shared" si="90"/>
        <v>2.04</v>
      </c>
      <c r="H173" s="345">
        <f t="shared" si="83"/>
        <v>0</v>
      </c>
      <c r="I173" s="345">
        <f t="shared" si="91"/>
        <v>0</v>
      </c>
      <c r="J173" s="346">
        <f t="shared" si="92"/>
        <v>0</v>
      </c>
      <c r="K173" s="345">
        <f t="shared" si="84"/>
        <v>0</v>
      </c>
      <c r="L173" s="345">
        <f t="shared" si="93"/>
        <v>0</v>
      </c>
      <c r="M173" s="345">
        <f t="shared" si="85"/>
        <v>0</v>
      </c>
      <c r="N173" s="345">
        <f t="shared" si="94"/>
        <v>0</v>
      </c>
      <c r="O173" s="345">
        <f t="shared" si="95"/>
        <v>0</v>
      </c>
      <c r="P173" s="345">
        <f t="shared" si="86"/>
        <v>0</v>
      </c>
      <c r="Q173" s="433">
        <f t="shared" si="87"/>
        <v>0</v>
      </c>
      <c r="R173" s="347"/>
      <c r="S173" s="348">
        <f>'PLANILHA GERAL'!$J$90</f>
        <v>1218.02</v>
      </c>
      <c r="T173" s="348">
        <f>'PLANILHA GERAL'!$J$91</f>
        <v>13.75</v>
      </c>
      <c r="U173" s="348">
        <f>'PLANILHA GERAL'!$J$92</f>
        <v>8.0399999999999991</v>
      </c>
      <c r="V173" s="348">
        <f>'PLANILHA GERAL'!$J$93</f>
        <v>3.45</v>
      </c>
      <c r="W173" s="348">
        <f>'PLANILHA GERAL'!$J$94</f>
        <v>7.35</v>
      </c>
      <c r="X173" s="348">
        <f>'PLANILHA GERAL'!$J$95</f>
        <v>60.59</v>
      </c>
      <c r="Y173" s="348">
        <f>'PLANILHA GERAL'!$J$96</f>
        <v>219.78</v>
      </c>
      <c r="Z173" s="348">
        <f>'PLANILHA GERAL'!$J$97</f>
        <v>22.08</v>
      </c>
      <c r="AA173" s="348">
        <f>'PLANILHA GERAL'!$J$98</f>
        <v>51.71</v>
      </c>
      <c r="AB173" s="348">
        <f>'PLANILHA GERAL'!$J$99</f>
        <v>260.13</v>
      </c>
      <c r="AC173" s="348">
        <f t="shared" si="88"/>
        <v>0</v>
      </c>
    </row>
    <row r="174" spans="1:29" s="331" customFormat="1" ht="45" hidden="1" customHeight="1">
      <c r="A174" s="342">
        <f>DADOS!A26</f>
        <v>0</v>
      </c>
      <c r="B174" s="356">
        <f>DADOS!B26</f>
        <v>0</v>
      </c>
      <c r="C174" s="349">
        <v>1</v>
      </c>
      <c r="D174" s="345"/>
      <c r="E174" s="345">
        <f t="shared" si="96"/>
        <v>0</v>
      </c>
      <c r="F174" s="345">
        <f t="shared" si="89"/>
        <v>1.94</v>
      </c>
      <c r="G174" s="345">
        <f t="shared" si="90"/>
        <v>2.04</v>
      </c>
      <c r="H174" s="345">
        <f t="shared" si="83"/>
        <v>0</v>
      </c>
      <c r="I174" s="345">
        <f t="shared" si="91"/>
        <v>0</v>
      </c>
      <c r="J174" s="346">
        <f t="shared" si="92"/>
        <v>0</v>
      </c>
      <c r="K174" s="345">
        <f t="shared" si="84"/>
        <v>0</v>
      </c>
      <c r="L174" s="345">
        <f t="shared" si="93"/>
        <v>0</v>
      </c>
      <c r="M174" s="345">
        <f t="shared" si="85"/>
        <v>0</v>
      </c>
      <c r="N174" s="345">
        <f t="shared" si="94"/>
        <v>0</v>
      </c>
      <c r="O174" s="345">
        <f t="shared" si="95"/>
        <v>0</v>
      </c>
      <c r="P174" s="345">
        <f t="shared" si="86"/>
        <v>0</v>
      </c>
      <c r="Q174" s="433">
        <f t="shared" si="87"/>
        <v>0</v>
      </c>
      <c r="R174" s="347"/>
      <c r="S174" s="348">
        <f>'PLANILHA GERAL'!$J$90</f>
        <v>1218.02</v>
      </c>
      <c r="T174" s="348">
        <f>'PLANILHA GERAL'!$J$91</f>
        <v>13.75</v>
      </c>
      <c r="U174" s="348">
        <f>'PLANILHA GERAL'!$J$92</f>
        <v>8.0399999999999991</v>
      </c>
      <c r="V174" s="348">
        <f>'PLANILHA GERAL'!$J$93</f>
        <v>3.45</v>
      </c>
      <c r="W174" s="348">
        <f>'PLANILHA GERAL'!$J$94</f>
        <v>7.35</v>
      </c>
      <c r="X174" s="348">
        <f>'PLANILHA GERAL'!$J$95</f>
        <v>60.59</v>
      </c>
      <c r="Y174" s="348">
        <f>'PLANILHA GERAL'!$J$96</f>
        <v>219.78</v>
      </c>
      <c r="Z174" s="348">
        <f>'PLANILHA GERAL'!$J$97</f>
        <v>22.08</v>
      </c>
      <c r="AA174" s="348">
        <f>'PLANILHA GERAL'!$J$98</f>
        <v>51.71</v>
      </c>
      <c r="AB174" s="348">
        <f>'PLANILHA GERAL'!$J$99</f>
        <v>260.13</v>
      </c>
      <c r="AC174" s="348">
        <f t="shared" si="88"/>
        <v>0</v>
      </c>
    </row>
    <row r="175" spans="1:29" s="331" customFormat="1" ht="45" hidden="1" customHeight="1">
      <c r="A175" s="342">
        <f>DADOS!A27</f>
        <v>0</v>
      </c>
      <c r="B175" s="356">
        <f>DADOS!B27</f>
        <v>0</v>
      </c>
      <c r="C175" s="349">
        <v>1</v>
      </c>
      <c r="D175" s="345"/>
      <c r="E175" s="345">
        <f t="shared" si="96"/>
        <v>0</v>
      </c>
      <c r="F175" s="345">
        <f t="shared" si="89"/>
        <v>1.94</v>
      </c>
      <c r="G175" s="345">
        <f t="shared" si="90"/>
        <v>2.04</v>
      </c>
      <c r="H175" s="345">
        <f t="shared" si="83"/>
        <v>0</v>
      </c>
      <c r="I175" s="345">
        <f t="shared" si="91"/>
        <v>0</v>
      </c>
      <c r="J175" s="346">
        <f t="shared" si="92"/>
        <v>0</v>
      </c>
      <c r="K175" s="345">
        <f t="shared" si="84"/>
        <v>0</v>
      </c>
      <c r="L175" s="345">
        <f t="shared" si="93"/>
        <v>0</v>
      </c>
      <c r="M175" s="345">
        <f t="shared" si="85"/>
        <v>0</v>
      </c>
      <c r="N175" s="345">
        <f t="shared" si="94"/>
        <v>0</v>
      </c>
      <c r="O175" s="345">
        <f t="shared" si="95"/>
        <v>0</v>
      </c>
      <c r="P175" s="345">
        <f t="shared" si="86"/>
        <v>0</v>
      </c>
      <c r="Q175" s="433">
        <f t="shared" si="87"/>
        <v>0</v>
      </c>
      <c r="R175" s="347"/>
      <c r="S175" s="348">
        <f>'PLANILHA GERAL'!$J$90</f>
        <v>1218.02</v>
      </c>
      <c r="T175" s="348">
        <f>'PLANILHA GERAL'!$J$91</f>
        <v>13.75</v>
      </c>
      <c r="U175" s="348">
        <f>'PLANILHA GERAL'!$J$92</f>
        <v>8.0399999999999991</v>
      </c>
      <c r="V175" s="348">
        <f>'PLANILHA GERAL'!$J$93</f>
        <v>3.45</v>
      </c>
      <c r="W175" s="348">
        <f>'PLANILHA GERAL'!$J$94</f>
        <v>7.35</v>
      </c>
      <c r="X175" s="348">
        <f>'PLANILHA GERAL'!$J$95</f>
        <v>60.59</v>
      </c>
      <c r="Y175" s="348">
        <f>'PLANILHA GERAL'!$J$96</f>
        <v>219.78</v>
      </c>
      <c r="Z175" s="348">
        <f>'PLANILHA GERAL'!$J$97</f>
        <v>22.08</v>
      </c>
      <c r="AA175" s="348">
        <f>'PLANILHA GERAL'!$J$98</f>
        <v>51.71</v>
      </c>
      <c r="AB175" s="348">
        <f>'PLANILHA GERAL'!$J$99</f>
        <v>260.13</v>
      </c>
      <c r="AC175" s="348">
        <f t="shared" si="88"/>
        <v>0</v>
      </c>
    </row>
    <row r="176" spans="1:29" s="331" customFormat="1" ht="45" hidden="1" customHeight="1">
      <c r="A176" s="342">
        <f>DADOS!A28</f>
        <v>0</v>
      </c>
      <c r="B176" s="356">
        <f>DADOS!B28</f>
        <v>0</v>
      </c>
      <c r="C176" s="349">
        <v>1</v>
      </c>
      <c r="D176" s="345"/>
      <c r="E176" s="345">
        <f t="shared" si="96"/>
        <v>0</v>
      </c>
      <c r="F176" s="345">
        <f t="shared" si="89"/>
        <v>1.94</v>
      </c>
      <c r="G176" s="345">
        <f t="shared" si="90"/>
        <v>2.04</v>
      </c>
      <c r="H176" s="345">
        <f t="shared" si="83"/>
        <v>0</v>
      </c>
      <c r="I176" s="345">
        <f t="shared" si="91"/>
        <v>0</v>
      </c>
      <c r="J176" s="346">
        <f t="shared" si="92"/>
        <v>0</v>
      </c>
      <c r="K176" s="345">
        <f t="shared" si="84"/>
        <v>0</v>
      </c>
      <c r="L176" s="345">
        <f t="shared" si="93"/>
        <v>0</v>
      </c>
      <c r="M176" s="345">
        <f t="shared" si="85"/>
        <v>0</v>
      </c>
      <c r="N176" s="345">
        <f t="shared" si="94"/>
        <v>0</v>
      </c>
      <c r="O176" s="345">
        <f t="shared" si="95"/>
        <v>0</v>
      </c>
      <c r="P176" s="345">
        <f t="shared" si="86"/>
        <v>0</v>
      </c>
      <c r="Q176" s="433">
        <f t="shared" si="87"/>
        <v>0</v>
      </c>
      <c r="R176" s="347"/>
      <c r="S176" s="348">
        <f>'PLANILHA GERAL'!$J$90</f>
        <v>1218.02</v>
      </c>
      <c r="T176" s="348">
        <f>'PLANILHA GERAL'!$J$91</f>
        <v>13.75</v>
      </c>
      <c r="U176" s="348">
        <f>'PLANILHA GERAL'!$J$92</f>
        <v>8.0399999999999991</v>
      </c>
      <c r="V176" s="348">
        <f>'PLANILHA GERAL'!$J$93</f>
        <v>3.45</v>
      </c>
      <c r="W176" s="348">
        <f>'PLANILHA GERAL'!$J$94</f>
        <v>7.35</v>
      </c>
      <c r="X176" s="348">
        <f>'PLANILHA GERAL'!$J$95</f>
        <v>60.59</v>
      </c>
      <c r="Y176" s="348">
        <f>'PLANILHA GERAL'!$J$96</f>
        <v>219.78</v>
      </c>
      <c r="Z176" s="348">
        <f>'PLANILHA GERAL'!$J$97</f>
        <v>22.08</v>
      </c>
      <c r="AA176" s="348">
        <f>'PLANILHA GERAL'!$J$98</f>
        <v>51.71</v>
      </c>
      <c r="AB176" s="348">
        <f>'PLANILHA GERAL'!$J$99</f>
        <v>260.13</v>
      </c>
      <c r="AC176" s="348">
        <f t="shared" si="88"/>
        <v>0</v>
      </c>
    </row>
    <row r="177" spans="1:29" s="331" customFormat="1" ht="45" hidden="1" customHeight="1">
      <c r="A177" s="342">
        <f>DADOS!A29</f>
        <v>0</v>
      </c>
      <c r="B177" s="356">
        <f>DADOS!B29</f>
        <v>0</v>
      </c>
      <c r="C177" s="349">
        <v>1</v>
      </c>
      <c r="D177" s="345"/>
      <c r="E177" s="345">
        <f t="shared" si="96"/>
        <v>0</v>
      </c>
      <c r="F177" s="345">
        <f t="shared" si="89"/>
        <v>1.94</v>
      </c>
      <c r="G177" s="345">
        <f t="shared" si="90"/>
        <v>2.04</v>
      </c>
      <c r="H177" s="345">
        <f t="shared" si="83"/>
        <v>0</v>
      </c>
      <c r="I177" s="345">
        <f t="shared" si="91"/>
        <v>0</v>
      </c>
      <c r="J177" s="346">
        <f t="shared" si="92"/>
        <v>0</v>
      </c>
      <c r="K177" s="345">
        <f t="shared" si="84"/>
        <v>0</v>
      </c>
      <c r="L177" s="345">
        <f t="shared" si="93"/>
        <v>0</v>
      </c>
      <c r="M177" s="345">
        <f t="shared" si="85"/>
        <v>0</v>
      </c>
      <c r="N177" s="345">
        <f t="shared" si="94"/>
        <v>0</v>
      </c>
      <c r="O177" s="345">
        <f t="shared" si="95"/>
        <v>0</v>
      </c>
      <c r="P177" s="345">
        <f t="shared" si="86"/>
        <v>0</v>
      </c>
      <c r="Q177" s="433">
        <f t="shared" si="87"/>
        <v>0</v>
      </c>
      <c r="R177" s="347"/>
      <c r="S177" s="348">
        <f>'PLANILHA GERAL'!$J$90</f>
        <v>1218.02</v>
      </c>
      <c r="T177" s="348">
        <f>'PLANILHA GERAL'!$J$91</f>
        <v>13.75</v>
      </c>
      <c r="U177" s="348">
        <f>'PLANILHA GERAL'!$J$92</f>
        <v>8.0399999999999991</v>
      </c>
      <c r="V177" s="348">
        <f>'PLANILHA GERAL'!$J$93</f>
        <v>3.45</v>
      </c>
      <c r="W177" s="348">
        <f>'PLANILHA GERAL'!$J$94</f>
        <v>7.35</v>
      </c>
      <c r="X177" s="348">
        <f>'PLANILHA GERAL'!$J$95</f>
        <v>60.59</v>
      </c>
      <c r="Y177" s="348">
        <f>'PLANILHA GERAL'!$J$96</f>
        <v>219.78</v>
      </c>
      <c r="Z177" s="348">
        <f>'PLANILHA GERAL'!$J$97</f>
        <v>22.08</v>
      </c>
      <c r="AA177" s="348">
        <f>'PLANILHA GERAL'!$J$98</f>
        <v>51.71</v>
      </c>
      <c r="AB177" s="348">
        <f>'PLANILHA GERAL'!$J$99</f>
        <v>260.13</v>
      </c>
      <c r="AC177" s="348">
        <f t="shared" si="88"/>
        <v>0</v>
      </c>
    </row>
    <row r="178" spans="1:29" s="331" customFormat="1" ht="45" hidden="1" customHeight="1">
      <c r="A178" s="342">
        <f>DADOS!A30</f>
        <v>0</v>
      </c>
      <c r="B178" s="356">
        <f>DADOS!B30</f>
        <v>0</v>
      </c>
      <c r="C178" s="349">
        <v>1</v>
      </c>
      <c r="D178" s="345"/>
      <c r="E178" s="345">
        <f t="shared" si="96"/>
        <v>0</v>
      </c>
      <c r="F178" s="345">
        <f t="shared" si="89"/>
        <v>1.94</v>
      </c>
      <c r="G178" s="345">
        <f t="shared" si="90"/>
        <v>2.04</v>
      </c>
      <c r="H178" s="345">
        <f t="shared" si="83"/>
        <v>0</v>
      </c>
      <c r="I178" s="345">
        <f t="shared" si="91"/>
        <v>0</v>
      </c>
      <c r="J178" s="346">
        <f t="shared" si="92"/>
        <v>0</v>
      </c>
      <c r="K178" s="345">
        <f t="shared" si="84"/>
        <v>0</v>
      </c>
      <c r="L178" s="345">
        <f t="shared" si="93"/>
        <v>0</v>
      </c>
      <c r="M178" s="345">
        <f t="shared" si="85"/>
        <v>0</v>
      </c>
      <c r="N178" s="345">
        <f t="shared" si="94"/>
        <v>0</v>
      </c>
      <c r="O178" s="345">
        <f t="shared" si="95"/>
        <v>0</v>
      </c>
      <c r="P178" s="345">
        <f t="shared" si="86"/>
        <v>0</v>
      </c>
      <c r="Q178" s="433">
        <f t="shared" si="87"/>
        <v>0</v>
      </c>
      <c r="R178" s="347"/>
      <c r="S178" s="348">
        <f>'PLANILHA GERAL'!$J$90</f>
        <v>1218.02</v>
      </c>
      <c r="T178" s="348">
        <f>'PLANILHA GERAL'!$J$91</f>
        <v>13.75</v>
      </c>
      <c r="U178" s="348">
        <f>'PLANILHA GERAL'!$J$92</f>
        <v>8.0399999999999991</v>
      </c>
      <c r="V178" s="348">
        <f>'PLANILHA GERAL'!$J$93</f>
        <v>3.45</v>
      </c>
      <c r="W178" s="348">
        <f>'PLANILHA GERAL'!$J$94</f>
        <v>7.35</v>
      </c>
      <c r="X178" s="348">
        <f>'PLANILHA GERAL'!$J$95</f>
        <v>60.59</v>
      </c>
      <c r="Y178" s="348">
        <f>'PLANILHA GERAL'!$J$96</f>
        <v>219.78</v>
      </c>
      <c r="Z178" s="348">
        <f>'PLANILHA GERAL'!$J$97</f>
        <v>22.08</v>
      </c>
      <c r="AA178" s="348">
        <f>'PLANILHA GERAL'!$J$98</f>
        <v>51.71</v>
      </c>
      <c r="AB178" s="348">
        <f>'PLANILHA GERAL'!$J$99</f>
        <v>260.13</v>
      </c>
      <c r="AC178" s="348">
        <f t="shared" si="88"/>
        <v>0</v>
      </c>
    </row>
    <row r="179" spans="1:29" s="331" customFormat="1" ht="45" hidden="1" customHeight="1">
      <c r="A179" s="342"/>
      <c r="B179" s="356"/>
      <c r="C179" s="349">
        <v>1</v>
      </c>
      <c r="D179" s="345"/>
      <c r="E179" s="345">
        <f t="shared" si="96"/>
        <v>0</v>
      </c>
      <c r="F179" s="345">
        <f t="shared" si="89"/>
        <v>1.94</v>
      </c>
      <c r="G179" s="345">
        <f t="shared" si="90"/>
        <v>2.04</v>
      </c>
      <c r="H179" s="345">
        <f t="shared" si="83"/>
        <v>0</v>
      </c>
      <c r="I179" s="345">
        <f t="shared" si="91"/>
        <v>0</v>
      </c>
      <c r="J179" s="346">
        <f t="shared" si="92"/>
        <v>0</v>
      </c>
      <c r="K179" s="345">
        <f t="shared" si="84"/>
        <v>0</v>
      </c>
      <c r="L179" s="345">
        <f t="shared" si="93"/>
        <v>0</v>
      </c>
      <c r="M179" s="345">
        <f t="shared" si="85"/>
        <v>0</v>
      </c>
      <c r="N179" s="345">
        <f t="shared" si="94"/>
        <v>0</v>
      </c>
      <c r="O179" s="345">
        <f t="shared" si="95"/>
        <v>0</v>
      </c>
      <c r="P179" s="345">
        <f t="shared" si="86"/>
        <v>0</v>
      </c>
      <c r="Q179" s="433">
        <f t="shared" si="87"/>
        <v>0</v>
      </c>
      <c r="R179" s="347"/>
      <c r="S179" s="348">
        <f>'PLANILHA GERAL'!$J$90</f>
        <v>1218.02</v>
      </c>
      <c r="T179" s="348">
        <f>'PLANILHA GERAL'!$J$91</f>
        <v>13.75</v>
      </c>
      <c r="U179" s="348">
        <f>'PLANILHA GERAL'!$J$92</f>
        <v>8.0399999999999991</v>
      </c>
      <c r="V179" s="348">
        <f>'PLANILHA GERAL'!$J$93</f>
        <v>3.45</v>
      </c>
      <c r="W179" s="348">
        <f>'PLANILHA GERAL'!$J$94</f>
        <v>7.35</v>
      </c>
      <c r="X179" s="348">
        <f>'PLANILHA GERAL'!$J$95</f>
        <v>60.59</v>
      </c>
      <c r="Y179" s="348">
        <f>'PLANILHA GERAL'!$J$96</f>
        <v>219.78</v>
      </c>
      <c r="Z179" s="348">
        <f>'PLANILHA GERAL'!$J$97</f>
        <v>22.08</v>
      </c>
      <c r="AA179" s="348">
        <f>'PLANILHA GERAL'!$J$98</f>
        <v>51.71</v>
      </c>
      <c r="AB179" s="348">
        <f>'PLANILHA GERAL'!$J$99</f>
        <v>260.13</v>
      </c>
      <c r="AC179" s="348">
        <f t="shared" si="88"/>
        <v>0</v>
      </c>
    </row>
    <row r="180" spans="1:29" s="331" customFormat="1" ht="45" hidden="1" customHeight="1">
      <c r="A180" s="342"/>
      <c r="B180" s="356"/>
      <c r="C180" s="349">
        <v>1</v>
      </c>
      <c r="D180" s="345"/>
      <c r="E180" s="345">
        <f t="shared" si="96"/>
        <v>0</v>
      </c>
      <c r="F180" s="345">
        <f t="shared" si="89"/>
        <v>1.94</v>
      </c>
      <c r="G180" s="345">
        <f t="shared" si="90"/>
        <v>2.04</v>
      </c>
      <c r="H180" s="345">
        <f t="shared" si="83"/>
        <v>0</v>
      </c>
      <c r="I180" s="345">
        <f t="shared" si="91"/>
        <v>0</v>
      </c>
      <c r="J180" s="346">
        <f t="shared" si="92"/>
        <v>0</v>
      </c>
      <c r="K180" s="345">
        <f t="shared" si="84"/>
        <v>0</v>
      </c>
      <c r="L180" s="345">
        <f t="shared" si="93"/>
        <v>0</v>
      </c>
      <c r="M180" s="345">
        <f t="shared" si="85"/>
        <v>0</v>
      </c>
      <c r="N180" s="345">
        <f t="shared" si="94"/>
        <v>0</v>
      </c>
      <c r="O180" s="345">
        <f t="shared" si="95"/>
        <v>0</v>
      </c>
      <c r="P180" s="345">
        <f t="shared" si="86"/>
        <v>0</v>
      </c>
      <c r="Q180" s="433">
        <f t="shared" si="87"/>
        <v>0</v>
      </c>
      <c r="R180" s="347"/>
      <c r="S180" s="348">
        <f>'PLANILHA GERAL'!$J$90</f>
        <v>1218.02</v>
      </c>
      <c r="T180" s="348">
        <f>'PLANILHA GERAL'!$J$91</f>
        <v>13.75</v>
      </c>
      <c r="U180" s="348">
        <f>'PLANILHA GERAL'!$J$92</f>
        <v>8.0399999999999991</v>
      </c>
      <c r="V180" s="348">
        <f>'PLANILHA GERAL'!$J$93</f>
        <v>3.45</v>
      </c>
      <c r="W180" s="348">
        <f>'PLANILHA GERAL'!$J$94</f>
        <v>7.35</v>
      </c>
      <c r="X180" s="348">
        <f>'PLANILHA GERAL'!$J$95</f>
        <v>60.59</v>
      </c>
      <c r="Y180" s="348">
        <f>'PLANILHA GERAL'!$J$96</f>
        <v>219.78</v>
      </c>
      <c r="Z180" s="348">
        <f>'PLANILHA GERAL'!$J$97</f>
        <v>22.08</v>
      </c>
      <c r="AA180" s="348">
        <f>'PLANILHA GERAL'!$J$98</f>
        <v>51.71</v>
      </c>
      <c r="AB180" s="348">
        <f>'PLANILHA GERAL'!$J$99</f>
        <v>260.13</v>
      </c>
      <c r="AC180" s="348">
        <f t="shared" si="88"/>
        <v>0</v>
      </c>
    </row>
    <row r="181" spans="1:29" s="331" customFormat="1" ht="45" hidden="1" customHeight="1" thickBot="1">
      <c r="A181" s="342"/>
      <c r="B181" s="356"/>
      <c r="C181" s="349">
        <v>1</v>
      </c>
      <c r="D181" s="345"/>
      <c r="E181" s="345">
        <f t="shared" si="96"/>
        <v>0</v>
      </c>
      <c r="F181" s="345">
        <f t="shared" si="89"/>
        <v>1.94</v>
      </c>
      <c r="G181" s="345">
        <f t="shared" si="90"/>
        <v>2.04</v>
      </c>
      <c r="H181" s="345">
        <f t="shared" si="83"/>
        <v>0</v>
      </c>
      <c r="I181" s="345">
        <f t="shared" si="91"/>
        <v>0</v>
      </c>
      <c r="J181" s="346">
        <f t="shared" si="92"/>
        <v>0</v>
      </c>
      <c r="K181" s="345">
        <f t="shared" si="84"/>
        <v>0</v>
      </c>
      <c r="L181" s="345">
        <f t="shared" si="93"/>
        <v>0</v>
      </c>
      <c r="M181" s="345">
        <f t="shared" si="85"/>
        <v>0</v>
      </c>
      <c r="N181" s="345">
        <f t="shared" si="94"/>
        <v>0</v>
      </c>
      <c r="O181" s="345">
        <f t="shared" si="95"/>
        <v>0</v>
      </c>
      <c r="P181" s="345">
        <f t="shared" si="86"/>
        <v>0</v>
      </c>
      <c r="Q181" s="433">
        <f t="shared" si="87"/>
        <v>0</v>
      </c>
      <c r="R181" s="347"/>
      <c r="S181" s="348">
        <f>'PLANILHA GERAL'!$J$90</f>
        <v>1218.02</v>
      </c>
      <c r="T181" s="348">
        <f>'PLANILHA GERAL'!$J$91</f>
        <v>13.75</v>
      </c>
      <c r="U181" s="348">
        <f>'PLANILHA GERAL'!$J$92</f>
        <v>8.0399999999999991</v>
      </c>
      <c r="V181" s="348">
        <f>'PLANILHA GERAL'!$J$93</f>
        <v>3.45</v>
      </c>
      <c r="W181" s="348">
        <f>'PLANILHA GERAL'!$J$94</f>
        <v>7.35</v>
      </c>
      <c r="X181" s="348">
        <f>'PLANILHA GERAL'!$J$95</f>
        <v>60.59</v>
      </c>
      <c r="Y181" s="348">
        <f>'PLANILHA GERAL'!$J$96</f>
        <v>219.78</v>
      </c>
      <c r="Z181" s="348">
        <f>'PLANILHA GERAL'!$J$97</f>
        <v>22.08</v>
      </c>
      <c r="AA181" s="348">
        <f>'PLANILHA GERAL'!$J$98</f>
        <v>51.71</v>
      </c>
      <c r="AB181" s="348">
        <f>'PLANILHA GERAL'!$J$99</f>
        <v>260.13</v>
      </c>
      <c r="AC181" s="348">
        <f t="shared" si="88"/>
        <v>0</v>
      </c>
    </row>
    <row r="182" spans="1:29" s="331" customFormat="1" ht="45" hidden="1" customHeight="1" thickBot="1">
      <c r="A182" s="1610" t="s">
        <v>22</v>
      </c>
      <c r="B182" s="1611"/>
      <c r="C182" s="350"/>
      <c r="D182" s="350"/>
      <c r="E182" s="350">
        <f>SUM(E162:E181)</f>
        <v>0</v>
      </c>
      <c r="F182" s="350"/>
      <c r="G182" s="350"/>
      <c r="H182" s="350">
        <f>SUM(H162:H181)</f>
        <v>0</v>
      </c>
      <c r="I182" s="350">
        <f t="shared" ref="I182:Q182" si="97">SUM(I162:I181)</f>
        <v>0</v>
      </c>
      <c r="J182" s="350">
        <f t="shared" si="97"/>
        <v>0</v>
      </c>
      <c r="K182" s="350">
        <f t="shared" si="97"/>
        <v>0</v>
      </c>
      <c r="L182" s="350">
        <f t="shared" si="97"/>
        <v>0</v>
      </c>
      <c r="M182" s="350">
        <f t="shared" si="97"/>
        <v>0</v>
      </c>
      <c r="N182" s="350">
        <f t="shared" si="97"/>
        <v>0</v>
      </c>
      <c r="O182" s="350">
        <f t="shared" si="97"/>
        <v>0</v>
      </c>
      <c r="P182" s="350">
        <f t="shared" si="97"/>
        <v>0</v>
      </c>
      <c r="Q182" s="350">
        <f t="shared" si="97"/>
        <v>0</v>
      </c>
      <c r="R182" s="351"/>
    </row>
    <row r="183" spans="1:29" s="331" customFormat="1" ht="45" hidden="1" customHeight="1" thickBot="1">
      <c r="A183" s="436"/>
      <c r="C183" s="355"/>
      <c r="D183" s="355"/>
      <c r="E183" s="355"/>
      <c r="F183" s="355"/>
      <c r="G183" s="355"/>
      <c r="Q183" s="435"/>
    </row>
    <row r="184" spans="1:29" s="331" customFormat="1" ht="45" hidden="1" customHeight="1" thickBot="1">
      <c r="A184" s="1605" t="s">
        <v>426</v>
      </c>
      <c r="B184" s="1606"/>
      <c r="C184" s="1606"/>
      <c r="D184" s="1606"/>
      <c r="E184" s="1606"/>
      <c r="F184" s="1606"/>
      <c r="G184" s="1606"/>
      <c r="H184" s="1606"/>
      <c r="I184" s="1606"/>
      <c r="J184" s="1606"/>
      <c r="K184" s="1606"/>
      <c r="L184" s="1606"/>
      <c r="M184" s="1606"/>
      <c r="N184" s="1606"/>
      <c r="O184" s="1606"/>
      <c r="P184" s="1606"/>
      <c r="Q184" s="1607"/>
      <c r="R184" s="330"/>
    </row>
    <row r="185" spans="1:29" s="331" customFormat="1" ht="45" hidden="1" customHeight="1">
      <c r="A185" s="1612" t="s">
        <v>6</v>
      </c>
      <c r="B185" s="1615" t="s">
        <v>322</v>
      </c>
      <c r="C185" s="1620" t="s">
        <v>495</v>
      </c>
      <c r="D185" s="1620"/>
      <c r="E185" s="1620"/>
      <c r="F185" s="1608" t="s">
        <v>465</v>
      </c>
      <c r="G185" s="1608"/>
      <c r="H185" s="1608"/>
      <c r="I185" s="1608" t="s">
        <v>466</v>
      </c>
      <c r="J185" s="1623" t="s">
        <v>469</v>
      </c>
      <c r="K185" s="1608" t="s">
        <v>314</v>
      </c>
      <c r="L185" s="1608" t="s">
        <v>316</v>
      </c>
      <c r="M185" s="1600" t="s">
        <v>315</v>
      </c>
      <c r="N185" s="1603" t="s">
        <v>467</v>
      </c>
      <c r="O185" s="1603" t="s">
        <v>532</v>
      </c>
      <c r="P185" s="1603" t="s">
        <v>468</v>
      </c>
      <c r="Q185" s="1618" t="s">
        <v>317</v>
      </c>
      <c r="R185" s="330"/>
    </row>
    <row r="186" spans="1:29" s="331" customFormat="1" ht="45" hidden="1" customHeight="1">
      <c r="A186" s="1613"/>
      <c r="B186" s="1616"/>
      <c r="C186" s="1621"/>
      <c r="D186" s="1621"/>
      <c r="E186" s="1621"/>
      <c r="F186" s="1609"/>
      <c r="G186" s="1609"/>
      <c r="H186" s="1609"/>
      <c r="I186" s="1609"/>
      <c r="J186" s="1624"/>
      <c r="K186" s="1609"/>
      <c r="L186" s="1609"/>
      <c r="M186" s="1601"/>
      <c r="N186" s="1604"/>
      <c r="O186" s="1604"/>
      <c r="P186" s="1622"/>
      <c r="Q186" s="1619"/>
      <c r="R186" s="330"/>
    </row>
    <row r="187" spans="1:29" s="331" customFormat="1" ht="45" hidden="1" customHeight="1">
      <c r="A187" s="1613"/>
      <c r="B187" s="1616"/>
      <c r="C187" s="334" t="s">
        <v>148</v>
      </c>
      <c r="D187" s="335" t="s">
        <v>329</v>
      </c>
      <c r="E187" s="334" t="s">
        <v>313</v>
      </c>
      <c r="F187" s="334" t="s">
        <v>307</v>
      </c>
      <c r="G187" s="334" t="s">
        <v>312</v>
      </c>
      <c r="H187" s="334" t="s">
        <v>22</v>
      </c>
      <c r="I187" s="1609"/>
      <c r="J187" s="1624"/>
      <c r="K187" s="1609"/>
      <c r="L187" s="1609"/>
      <c r="M187" s="1602"/>
      <c r="N187" s="334" t="s">
        <v>22</v>
      </c>
      <c r="O187" s="334" t="s">
        <v>22</v>
      </c>
      <c r="P187" s="1604"/>
      <c r="Q187" s="1619"/>
      <c r="R187" s="330"/>
    </row>
    <row r="188" spans="1:29" s="331" customFormat="1" ht="62.1" hidden="1" customHeight="1">
      <c r="A188" s="1613"/>
      <c r="B188" s="1616"/>
      <c r="C188" s="517"/>
      <c r="D188" s="517"/>
      <c r="E188" s="517" t="s">
        <v>50</v>
      </c>
      <c r="F188" s="517" t="s">
        <v>53</v>
      </c>
      <c r="G188" s="517" t="s">
        <v>14</v>
      </c>
      <c r="H188" s="517" t="s">
        <v>667</v>
      </c>
      <c r="I188" s="517" t="s">
        <v>672</v>
      </c>
      <c r="J188" s="516" t="s">
        <v>668</v>
      </c>
      <c r="K188" s="517" t="s">
        <v>669</v>
      </c>
      <c r="L188" s="517" t="s">
        <v>670</v>
      </c>
      <c r="M188" s="517" t="s">
        <v>671</v>
      </c>
      <c r="N188" s="517" t="s">
        <v>673</v>
      </c>
      <c r="O188" s="517" t="s">
        <v>674</v>
      </c>
      <c r="P188" s="517" t="s">
        <v>675</v>
      </c>
      <c r="Q188" s="515" t="s">
        <v>676</v>
      </c>
      <c r="R188" s="330"/>
      <c r="S188" s="1597" t="s">
        <v>483</v>
      </c>
      <c r="T188" s="1598"/>
      <c r="U188" s="1598"/>
      <c r="V188" s="1598"/>
      <c r="W188" s="1598"/>
      <c r="X188" s="1598"/>
      <c r="Y188" s="1598"/>
      <c r="Z188" s="1598"/>
      <c r="AA188" s="1598"/>
      <c r="AB188" s="1598"/>
      <c r="AC188" s="1599"/>
    </row>
    <row r="189" spans="1:29" s="331" customFormat="1" ht="62.1" hidden="1" customHeight="1" thickBot="1">
      <c r="A189" s="1614"/>
      <c r="B189" s="1617"/>
      <c r="C189" s="337" t="s">
        <v>311</v>
      </c>
      <c r="D189" s="337" t="s">
        <v>308</v>
      </c>
      <c r="E189" s="337" t="s">
        <v>308</v>
      </c>
      <c r="F189" s="337" t="s">
        <v>513</v>
      </c>
      <c r="G189" s="339" t="s">
        <v>677</v>
      </c>
      <c r="H189" s="337"/>
      <c r="I189" s="337"/>
      <c r="J189" s="338">
        <v>10</v>
      </c>
      <c r="K189" s="337"/>
      <c r="L189" s="337"/>
      <c r="M189" s="337"/>
      <c r="N189" s="337"/>
      <c r="O189" s="339"/>
      <c r="P189" s="339" t="s">
        <v>530</v>
      </c>
      <c r="Q189" s="432"/>
      <c r="R189" s="340"/>
      <c r="S189" s="335" t="s">
        <v>474</v>
      </c>
      <c r="T189" s="335" t="s">
        <v>475</v>
      </c>
      <c r="U189" s="335" t="s">
        <v>476</v>
      </c>
      <c r="V189" s="335" t="s">
        <v>477</v>
      </c>
      <c r="W189" s="335" t="s">
        <v>478</v>
      </c>
      <c r="X189" s="335" t="s">
        <v>323</v>
      </c>
      <c r="Y189" s="334" t="s">
        <v>467</v>
      </c>
      <c r="Z189" s="334" t="s">
        <v>532</v>
      </c>
      <c r="AA189" s="334" t="s">
        <v>468</v>
      </c>
      <c r="AB189" s="334" t="s">
        <v>317</v>
      </c>
      <c r="AC189" s="341" t="s">
        <v>22</v>
      </c>
    </row>
    <row r="190" spans="1:29" s="331" customFormat="1" ht="45" hidden="1" customHeight="1">
      <c r="A190" s="342">
        <f>DADOS!A12</f>
        <v>1</v>
      </c>
      <c r="B190" s="356"/>
      <c r="C190" s="345">
        <v>1</v>
      </c>
      <c r="D190" s="344"/>
      <c r="E190" s="345">
        <f>C190*D190</f>
        <v>0</v>
      </c>
      <c r="F190" s="345">
        <f>1.78+0.5</f>
        <v>2.2799999999999998</v>
      </c>
      <c r="G190" s="345">
        <f>((1.78+0.6)+((1.78+0.6)+(E190*0.5%)))/2</f>
        <v>2.38</v>
      </c>
      <c r="H190" s="345">
        <f t="shared" ref="H190:H209" si="98">E190*F190*G190</f>
        <v>0</v>
      </c>
      <c r="I190" s="345">
        <f>M190</f>
        <v>0</v>
      </c>
      <c r="J190" s="346">
        <f>I190*1.25*$J$16</f>
        <v>0</v>
      </c>
      <c r="K190" s="345">
        <f t="shared" ref="K190:K209" si="99">E190*F190</f>
        <v>0</v>
      </c>
      <c r="L190" s="345">
        <f>K190</f>
        <v>0</v>
      </c>
      <c r="M190" s="345">
        <f t="shared" ref="M190:M209" si="100">(3.14*0.75^2)*E190</f>
        <v>0</v>
      </c>
      <c r="N190" s="345">
        <f>(H190-M190)*70%</f>
        <v>0</v>
      </c>
      <c r="O190" s="345">
        <f>(H190-M190)*30%</f>
        <v>0</v>
      </c>
      <c r="P190" s="345">
        <f t="shared" ref="P190:P209" si="101">IF(G190&gt;1.5,D190*G190*2,)</f>
        <v>0</v>
      </c>
      <c r="Q190" s="433">
        <f t="shared" ref="Q190:Q209" si="102">E190</f>
        <v>0</v>
      </c>
      <c r="R190" s="347"/>
      <c r="S190" s="348">
        <f>'PLANILHA GERAL'!$J$100</f>
        <v>1849.78</v>
      </c>
      <c r="T190" s="348">
        <f>'PLANILHA GERAL'!$J$101</f>
        <v>13.75</v>
      </c>
      <c r="U190" s="348">
        <f>'PLANILHA GERAL'!$J$102</f>
        <v>8.0399999999999991</v>
      </c>
      <c r="V190" s="348">
        <f>'PLANILHA GERAL'!$J$103</f>
        <v>3.45</v>
      </c>
      <c r="W190" s="348">
        <f>'PLANILHA GERAL'!$J$104</f>
        <v>7.35</v>
      </c>
      <c r="X190" s="348">
        <f>'PLANILHA GERAL'!$J$105</f>
        <v>60.59</v>
      </c>
      <c r="Y190" s="348">
        <f>'PLANILHA GERAL'!$J$106</f>
        <v>219.78</v>
      </c>
      <c r="Z190" s="348">
        <f>'PLANILHA GERAL'!$J$107</f>
        <v>22.08</v>
      </c>
      <c r="AA190" s="348">
        <f>'PLANILHA GERAL'!$J$108</f>
        <v>51.71</v>
      </c>
      <c r="AB190" s="348">
        <f>'PLANILHA GERAL'!$J$109</f>
        <v>345.81</v>
      </c>
      <c r="AC190" s="348">
        <f t="shared" ref="AC190:AC209" si="103">(E190*S190)+(H190*T190)+(I190*U190)+(J190*V190)+(K190*W190)+(L190*X190)+(N190*Y190)+(O190*Z190)+(P190*AA190)+(Q190*AB190)</f>
        <v>0</v>
      </c>
    </row>
    <row r="191" spans="1:29" s="331" customFormat="1" ht="45" hidden="1" customHeight="1" thickBot="1">
      <c r="A191" s="342">
        <f>DADOS!A13</f>
        <v>2</v>
      </c>
      <c r="B191" s="356"/>
      <c r="C191" s="349">
        <v>1</v>
      </c>
      <c r="D191" s="345"/>
      <c r="E191" s="345">
        <f>C191*D191</f>
        <v>0</v>
      </c>
      <c r="F191" s="345">
        <f t="shared" ref="F191:F209" si="104">1.78+0.5</f>
        <v>2.2799999999999998</v>
      </c>
      <c r="G191" s="345">
        <f t="shared" ref="G191:G209" si="105">((1.78+0.6)+((1.78+0.6)+(E191*0.5%)))/2</f>
        <v>2.38</v>
      </c>
      <c r="H191" s="345">
        <f t="shared" si="98"/>
        <v>0</v>
      </c>
      <c r="I191" s="345">
        <f t="shared" ref="I191:I209" si="106">M191</f>
        <v>0</v>
      </c>
      <c r="J191" s="346">
        <f t="shared" ref="J191:J209" si="107">I191*1.25*$J$16</f>
        <v>0</v>
      </c>
      <c r="K191" s="345">
        <f t="shared" si="99"/>
        <v>0</v>
      </c>
      <c r="L191" s="345">
        <f t="shared" ref="L191:L209" si="108">K191</f>
        <v>0</v>
      </c>
      <c r="M191" s="345">
        <f t="shared" si="100"/>
        <v>0</v>
      </c>
      <c r="N191" s="345">
        <f t="shared" ref="N191:N209" si="109">(H191-M191)*70%</f>
        <v>0</v>
      </c>
      <c r="O191" s="345">
        <f t="shared" ref="O191:O209" si="110">(H191-M191)*30%</f>
        <v>0</v>
      </c>
      <c r="P191" s="345">
        <f t="shared" si="101"/>
        <v>0</v>
      </c>
      <c r="Q191" s="433">
        <f t="shared" si="102"/>
        <v>0</v>
      </c>
      <c r="R191" s="347"/>
      <c r="S191" s="348">
        <f>'PLANILHA GERAL'!$J$100</f>
        <v>1849.78</v>
      </c>
      <c r="T191" s="348">
        <f>'PLANILHA GERAL'!$J$101</f>
        <v>13.75</v>
      </c>
      <c r="U191" s="348">
        <f>'PLANILHA GERAL'!$J$102</f>
        <v>8.0399999999999991</v>
      </c>
      <c r="V191" s="348">
        <f>'PLANILHA GERAL'!$J$103</f>
        <v>3.45</v>
      </c>
      <c r="W191" s="348">
        <f>'PLANILHA GERAL'!$J$104</f>
        <v>7.35</v>
      </c>
      <c r="X191" s="348">
        <f>'PLANILHA GERAL'!$J$105</f>
        <v>60.59</v>
      </c>
      <c r="Y191" s="348">
        <f>'PLANILHA GERAL'!$J$106</f>
        <v>219.78</v>
      </c>
      <c r="Z191" s="348">
        <f>'PLANILHA GERAL'!$J$107</f>
        <v>22.08</v>
      </c>
      <c r="AA191" s="348">
        <f>'PLANILHA GERAL'!$J$108</f>
        <v>51.71</v>
      </c>
      <c r="AB191" s="348">
        <f>'PLANILHA GERAL'!$J$109</f>
        <v>345.81</v>
      </c>
      <c r="AC191" s="348">
        <f t="shared" si="103"/>
        <v>0</v>
      </c>
    </row>
    <row r="192" spans="1:29" s="331" customFormat="1" ht="45" hidden="1" customHeight="1">
      <c r="A192" s="342">
        <f>DADOS!A14</f>
        <v>0</v>
      </c>
      <c r="B192" s="356">
        <f>DADOS!B14</f>
        <v>0</v>
      </c>
      <c r="C192" s="349">
        <v>1</v>
      </c>
      <c r="D192" s="345"/>
      <c r="E192" s="345">
        <f t="shared" ref="E192:E209" si="111">C192*D192</f>
        <v>0</v>
      </c>
      <c r="F192" s="345">
        <f t="shared" si="104"/>
        <v>2.2799999999999998</v>
      </c>
      <c r="G192" s="345">
        <f t="shared" si="105"/>
        <v>2.38</v>
      </c>
      <c r="H192" s="345">
        <f t="shared" si="98"/>
        <v>0</v>
      </c>
      <c r="I192" s="345">
        <f t="shared" si="106"/>
        <v>0</v>
      </c>
      <c r="J192" s="346">
        <f t="shared" si="107"/>
        <v>0</v>
      </c>
      <c r="K192" s="345">
        <f t="shared" si="99"/>
        <v>0</v>
      </c>
      <c r="L192" s="345">
        <f t="shared" si="108"/>
        <v>0</v>
      </c>
      <c r="M192" s="345">
        <f t="shared" si="100"/>
        <v>0</v>
      </c>
      <c r="N192" s="345">
        <f t="shared" si="109"/>
        <v>0</v>
      </c>
      <c r="O192" s="345">
        <f t="shared" si="110"/>
        <v>0</v>
      </c>
      <c r="P192" s="345">
        <f t="shared" si="101"/>
        <v>0</v>
      </c>
      <c r="Q192" s="433">
        <f t="shared" si="102"/>
        <v>0</v>
      </c>
      <c r="R192" s="347"/>
      <c r="S192" s="348">
        <f>'PLANILHA GERAL'!$J$100</f>
        <v>1849.78</v>
      </c>
      <c r="T192" s="348">
        <f>'PLANILHA GERAL'!$J$101</f>
        <v>13.75</v>
      </c>
      <c r="U192" s="348">
        <f>'PLANILHA GERAL'!$J$102</f>
        <v>8.0399999999999991</v>
      </c>
      <c r="V192" s="348">
        <f>'PLANILHA GERAL'!$J$103</f>
        <v>3.45</v>
      </c>
      <c r="W192" s="348">
        <f>'PLANILHA GERAL'!$J$104</f>
        <v>7.35</v>
      </c>
      <c r="X192" s="348">
        <f>'PLANILHA GERAL'!$J$105</f>
        <v>60.59</v>
      </c>
      <c r="Y192" s="348">
        <f>'PLANILHA GERAL'!$J$106</f>
        <v>219.78</v>
      </c>
      <c r="Z192" s="348">
        <f>'PLANILHA GERAL'!$J$107</f>
        <v>22.08</v>
      </c>
      <c r="AA192" s="348">
        <f>'PLANILHA GERAL'!$J$108</f>
        <v>51.71</v>
      </c>
      <c r="AB192" s="348">
        <f>'PLANILHA GERAL'!$J$109</f>
        <v>345.81</v>
      </c>
      <c r="AC192" s="348">
        <f t="shared" si="103"/>
        <v>0</v>
      </c>
    </row>
    <row r="193" spans="1:29" s="331" customFormat="1" ht="45" hidden="1" customHeight="1">
      <c r="A193" s="342">
        <f>DADOS!A15</f>
        <v>0</v>
      </c>
      <c r="B193" s="356">
        <f>DADOS!B15</f>
        <v>0</v>
      </c>
      <c r="C193" s="349">
        <v>1</v>
      </c>
      <c r="D193" s="345"/>
      <c r="E193" s="345">
        <f t="shared" si="111"/>
        <v>0</v>
      </c>
      <c r="F193" s="345">
        <f t="shared" si="104"/>
        <v>2.2799999999999998</v>
      </c>
      <c r="G193" s="345">
        <f t="shared" si="105"/>
        <v>2.38</v>
      </c>
      <c r="H193" s="345">
        <f t="shared" si="98"/>
        <v>0</v>
      </c>
      <c r="I193" s="345">
        <f t="shared" si="106"/>
        <v>0</v>
      </c>
      <c r="J193" s="346">
        <f t="shared" si="107"/>
        <v>0</v>
      </c>
      <c r="K193" s="345">
        <f t="shared" si="99"/>
        <v>0</v>
      </c>
      <c r="L193" s="345">
        <f t="shared" si="108"/>
        <v>0</v>
      </c>
      <c r="M193" s="345">
        <f t="shared" si="100"/>
        <v>0</v>
      </c>
      <c r="N193" s="345">
        <f t="shared" si="109"/>
        <v>0</v>
      </c>
      <c r="O193" s="345">
        <f t="shared" si="110"/>
        <v>0</v>
      </c>
      <c r="P193" s="345">
        <f t="shared" si="101"/>
        <v>0</v>
      </c>
      <c r="Q193" s="433">
        <f t="shared" si="102"/>
        <v>0</v>
      </c>
      <c r="R193" s="347"/>
      <c r="S193" s="348">
        <f>'PLANILHA GERAL'!$J$100</f>
        <v>1849.78</v>
      </c>
      <c r="T193" s="348">
        <f>'PLANILHA GERAL'!$J$101</f>
        <v>13.75</v>
      </c>
      <c r="U193" s="348">
        <f>'PLANILHA GERAL'!$J$102</f>
        <v>8.0399999999999991</v>
      </c>
      <c r="V193" s="348">
        <f>'PLANILHA GERAL'!$J$103</f>
        <v>3.45</v>
      </c>
      <c r="W193" s="348">
        <f>'PLANILHA GERAL'!$J$104</f>
        <v>7.35</v>
      </c>
      <c r="X193" s="348">
        <f>'PLANILHA GERAL'!$J$105</f>
        <v>60.59</v>
      </c>
      <c r="Y193" s="348">
        <f>'PLANILHA GERAL'!$J$106</f>
        <v>219.78</v>
      </c>
      <c r="Z193" s="348">
        <f>'PLANILHA GERAL'!$J$107</f>
        <v>22.08</v>
      </c>
      <c r="AA193" s="348">
        <f>'PLANILHA GERAL'!$J$108</f>
        <v>51.71</v>
      </c>
      <c r="AB193" s="348">
        <f>'PLANILHA GERAL'!$J$109</f>
        <v>345.81</v>
      </c>
      <c r="AC193" s="348">
        <f t="shared" si="103"/>
        <v>0</v>
      </c>
    </row>
    <row r="194" spans="1:29" s="331" customFormat="1" ht="45" hidden="1" customHeight="1">
      <c r="A194" s="342">
        <f>DADOS!A16</f>
        <v>0</v>
      </c>
      <c r="B194" s="356">
        <f>DADOS!B16</f>
        <v>0</v>
      </c>
      <c r="C194" s="349">
        <v>1</v>
      </c>
      <c r="D194" s="345"/>
      <c r="E194" s="345">
        <f t="shared" si="111"/>
        <v>0</v>
      </c>
      <c r="F194" s="345">
        <f t="shared" si="104"/>
        <v>2.2799999999999998</v>
      </c>
      <c r="G194" s="345">
        <f t="shared" si="105"/>
        <v>2.38</v>
      </c>
      <c r="H194" s="345">
        <f t="shared" si="98"/>
        <v>0</v>
      </c>
      <c r="I194" s="345">
        <f t="shared" si="106"/>
        <v>0</v>
      </c>
      <c r="J194" s="346">
        <f t="shared" si="107"/>
        <v>0</v>
      </c>
      <c r="K194" s="345">
        <f t="shared" si="99"/>
        <v>0</v>
      </c>
      <c r="L194" s="345">
        <f t="shared" si="108"/>
        <v>0</v>
      </c>
      <c r="M194" s="345">
        <f t="shared" si="100"/>
        <v>0</v>
      </c>
      <c r="N194" s="345">
        <f t="shared" si="109"/>
        <v>0</v>
      </c>
      <c r="O194" s="345">
        <f t="shared" si="110"/>
        <v>0</v>
      </c>
      <c r="P194" s="345">
        <f t="shared" si="101"/>
        <v>0</v>
      </c>
      <c r="Q194" s="433">
        <f t="shared" si="102"/>
        <v>0</v>
      </c>
      <c r="R194" s="347"/>
      <c r="S194" s="348">
        <f>'PLANILHA GERAL'!$J$100</f>
        <v>1849.78</v>
      </c>
      <c r="T194" s="348">
        <f>'PLANILHA GERAL'!$J$101</f>
        <v>13.75</v>
      </c>
      <c r="U194" s="348">
        <f>'PLANILHA GERAL'!$J$102</f>
        <v>8.0399999999999991</v>
      </c>
      <c r="V194" s="348">
        <f>'PLANILHA GERAL'!$J$103</f>
        <v>3.45</v>
      </c>
      <c r="W194" s="348">
        <f>'PLANILHA GERAL'!$J$104</f>
        <v>7.35</v>
      </c>
      <c r="X194" s="348">
        <f>'PLANILHA GERAL'!$J$105</f>
        <v>60.59</v>
      </c>
      <c r="Y194" s="348">
        <f>'PLANILHA GERAL'!$J$106</f>
        <v>219.78</v>
      </c>
      <c r="Z194" s="348">
        <f>'PLANILHA GERAL'!$J$107</f>
        <v>22.08</v>
      </c>
      <c r="AA194" s="348">
        <f>'PLANILHA GERAL'!$J$108</f>
        <v>51.71</v>
      </c>
      <c r="AB194" s="348">
        <f>'PLANILHA GERAL'!$J$109</f>
        <v>345.81</v>
      </c>
      <c r="AC194" s="348">
        <f t="shared" si="103"/>
        <v>0</v>
      </c>
    </row>
    <row r="195" spans="1:29" s="331" customFormat="1" ht="45" hidden="1" customHeight="1">
      <c r="A195" s="342">
        <f>DADOS!A17</f>
        <v>0</v>
      </c>
      <c r="B195" s="356">
        <f>DADOS!B17</f>
        <v>0</v>
      </c>
      <c r="C195" s="349">
        <v>1</v>
      </c>
      <c r="D195" s="345"/>
      <c r="E195" s="345">
        <f t="shared" si="111"/>
        <v>0</v>
      </c>
      <c r="F195" s="345">
        <f t="shared" si="104"/>
        <v>2.2799999999999998</v>
      </c>
      <c r="G195" s="345">
        <f t="shared" si="105"/>
        <v>2.38</v>
      </c>
      <c r="H195" s="345">
        <f t="shared" si="98"/>
        <v>0</v>
      </c>
      <c r="I195" s="345">
        <f t="shared" si="106"/>
        <v>0</v>
      </c>
      <c r="J195" s="346">
        <f t="shared" si="107"/>
        <v>0</v>
      </c>
      <c r="K195" s="345">
        <f t="shared" si="99"/>
        <v>0</v>
      </c>
      <c r="L195" s="345">
        <f t="shared" si="108"/>
        <v>0</v>
      </c>
      <c r="M195" s="345">
        <f t="shared" si="100"/>
        <v>0</v>
      </c>
      <c r="N195" s="345">
        <f t="shared" si="109"/>
        <v>0</v>
      </c>
      <c r="O195" s="345">
        <f t="shared" si="110"/>
        <v>0</v>
      </c>
      <c r="P195" s="345">
        <f t="shared" si="101"/>
        <v>0</v>
      </c>
      <c r="Q195" s="433">
        <f t="shared" si="102"/>
        <v>0</v>
      </c>
      <c r="R195" s="347"/>
      <c r="S195" s="348">
        <f>'PLANILHA GERAL'!$J$100</f>
        <v>1849.78</v>
      </c>
      <c r="T195" s="348">
        <f>'PLANILHA GERAL'!$J$101</f>
        <v>13.75</v>
      </c>
      <c r="U195" s="348">
        <f>'PLANILHA GERAL'!$J$102</f>
        <v>8.0399999999999991</v>
      </c>
      <c r="V195" s="348">
        <f>'PLANILHA GERAL'!$J$103</f>
        <v>3.45</v>
      </c>
      <c r="W195" s="348">
        <f>'PLANILHA GERAL'!$J$104</f>
        <v>7.35</v>
      </c>
      <c r="X195" s="348">
        <f>'PLANILHA GERAL'!$J$105</f>
        <v>60.59</v>
      </c>
      <c r="Y195" s="348">
        <f>'PLANILHA GERAL'!$J$106</f>
        <v>219.78</v>
      </c>
      <c r="Z195" s="348">
        <f>'PLANILHA GERAL'!$J$107</f>
        <v>22.08</v>
      </c>
      <c r="AA195" s="348">
        <f>'PLANILHA GERAL'!$J$108</f>
        <v>51.71</v>
      </c>
      <c r="AB195" s="348">
        <f>'PLANILHA GERAL'!$J$109</f>
        <v>345.81</v>
      </c>
      <c r="AC195" s="348">
        <f t="shared" si="103"/>
        <v>0</v>
      </c>
    </row>
    <row r="196" spans="1:29" s="331" customFormat="1" ht="45" hidden="1" customHeight="1">
      <c r="A196" s="342">
        <f>DADOS!A18</f>
        <v>0</v>
      </c>
      <c r="B196" s="356">
        <f>DADOS!B18</f>
        <v>0</v>
      </c>
      <c r="C196" s="349">
        <v>1</v>
      </c>
      <c r="D196" s="345"/>
      <c r="E196" s="345">
        <f t="shared" si="111"/>
        <v>0</v>
      </c>
      <c r="F196" s="345">
        <f t="shared" si="104"/>
        <v>2.2799999999999998</v>
      </c>
      <c r="G196" s="345">
        <f t="shared" si="105"/>
        <v>2.38</v>
      </c>
      <c r="H196" s="345">
        <f t="shared" si="98"/>
        <v>0</v>
      </c>
      <c r="I196" s="345">
        <f t="shared" si="106"/>
        <v>0</v>
      </c>
      <c r="J196" s="346">
        <f t="shared" si="107"/>
        <v>0</v>
      </c>
      <c r="K196" s="345">
        <f t="shared" si="99"/>
        <v>0</v>
      </c>
      <c r="L196" s="345">
        <f t="shared" si="108"/>
        <v>0</v>
      </c>
      <c r="M196" s="345">
        <f t="shared" si="100"/>
        <v>0</v>
      </c>
      <c r="N196" s="345">
        <f t="shared" si="109"/>
        <v>0</v>
      </c>
      <c r="O196" s="345">
        <f t="shared" si="110"/>
        <v>0</v>
      </c>
      <c r="P196" s="345">
        <f t="shared" si="101"/>
        <v>0</v>
      </c>
      <c r="Q196" s="433">
        <f t="shared" si="102"/>
        <v>0</v>
      </c>
      <c r="R196" s="347"/>
      <c r="S196" s="348">
        <f>'PLANILHA GERAL'!$J$100</f>
        <v>1849.78</v>
      </c>
      <c r="T196" s="348">
        <f>'PLANILHA GERAL'!$J$101</f>
        <v>13.75</v>
      </c>
      <c r="U196" s="348">
        <f>'PLANILHA GERAL'!$J$102</f>
        <v>8.0399999999999991</v>
      </c>
      <c r="V196" s="348">
        <f>'PLANILHA GERAL'!$J$103</f>
        <v>3.45</v>
      </c>
      <c r="W196" s="348">
        <f>'PLANILHA GERAL'!$J$104</f>
        <v>7.35</v>
      </c>
      <c r="X196" s="348">
        <f>'PLANILHA GERAL'!$J$105</f>
        <v>60.59</v>
      </c>
      <c r="Y196" s="348">
        <f>'PLANILHA GERAL'!$J$106</f>
        <v>219.78</v>
      </c>
      <c r="Z196" s="348">
        <f>'PLANILHA GERAL'!$J$107</f>
        <v>22.08</v>
      </c>
      <c r="AA196" s="348">
        <f>'PLANILHA GERAL'!$J$108</f>
        <v>51.71</v>
      </c>
      <c r="AB196" s="348">
        <f>'PLANILHA GERAL'!$J$109</f>
        <v>345.81</v>
      </c>
      <c r="AC196" s="348">
        <f t="shared" si="103"/>
        <v>0</v>
      </c>
    </row>
    <row r="197" spans="1:29" s="331" customFormat="1" ht="45" hidden="1" customHeight="1">
      <c r="A197" s="342">
        <f>DADOS!A20</f>
        <v>0</v>
      </c>
      <c r="B197" s="356">
        <f>DADOS!B20</f>
        <v>0</v>
      </c>
      <c r="C197" s="349">
        <v>1</v>
      </c>
      <c r="D197" s="345"/>
      <c r="E197" s="345">
        <f t="shared" si="111"/>
        <v>0</v>
      </c>
      <c r="F197" s="345">
        <f t="shared" si="104"/>
        <v>2.2799999999999998</v>
      </c>
      <c r="G197" s="345">
        <f t="shared" si="105"/>
        <v>2.38</v>
      </c>
      <c r="H197" s="345">
        <f t="shared" si="98"/>
        <v>0</v>
      </c>
      <c r="I197" s="345">
        <f t="shared" si="106"/>
        <v>0</v>
      </c>
      <c r="J197" s="346">
        <f t="shared" si="107"/>
        <v>0</v>
      </c>
      <c r="K197" s="345">
        <f t="shared" si="99"/>
        <v>0</v>
      </c>
      <c r="L197" s="345">
        <f t="shared" si="108"/>
        <v>0</v>
      </c>
      <c r="M197" s="345">
        <f t="shared" si="100"/>
        <v>0</v>
      </c>
      <c r="N197" s="345">
        <f t="shared" si="109"/>
        <v>0</v>
      </c>
      <c r="O197" s="345">
        <f t="shared" si="110"/>
        <v>0</v>
      </c>
      <c r="P197" s="345">
        <f t="shared" si="101"/>
        <v>0</v>
      </c>
      <c r="Q197" s="433">
        <f t="shared" si="102"/>
        <v>0</v>
      </c>
      <c r="R197" s="347"/>
      <c r="S197" s="348">
        <f>'PLANILHA GERAL'!$J$100</f>
        <v>1849.78</v>
      </c>
      <c r="T197" s="348">
        <f>'PLANILHA GERAL'!$J$101</f>
        <v>13.75</v>
      </c>
      <c r="U197" s="348">
        <f>'PLANILHA GERAL'!$J$102</f>
        <v>8.0399999999999991</v>
      </c>
      <c r="V197" s="348">
        <f>'PLANILHA GERAL'!$J$103</f>
        <v>3.45</v>
      </c>
      <c r="W197" s="348">
        <f>'PLANILHA GERAL'!$J$104</f>
        <v>7.35</v>
      </c>
      <c r="X197" s="348">
        <f>'PLANILHA GERAL'!$J$105</f>
        <v>60.59</v>
      </c>
      <c r="Y197" s="348">
        <f>'PLANILHA GERAL'!$J$106</f>
        <v>219.78</v>
      </c>
      <c r="Z197" s="348">
        <f>'PLANILHA GERAL'!$J$107</f>
        <v>22.08</v>
      </c>
      <c r="AA197" s="348">
        <f>'PLANILHA GERAL'!$J$108</f>
        <v>51.71</v>
      </c>
      <c r="AB197" s="348">
        <f>'PLANILHA GERAL'!$J$109</f>
        <v>345.81</v>
      </c>
      <c r="AC197" s="348">
        <f t="shared" si="103"/>
        <v>0</v>
      </c>
    </row>
    <row r="198" spans="1:29" s="331" customFormat="1" ht="45" hidden="1" customHeight="1">
      <c r="A198" s="342">
        <f>DADOS!A21</f>
        <v>0</v>
      </c>
      <c r="B198" s="356">
        <f>DADOS!B21</f>
        <v>0</v>
      </c>
      <c r="C198" s="349">
        <v>1</v>
      </c>
      <c r="D198" s="345"/>
      <c r="E198" s="345">
        <f t="shared" si="111"/>
        <v>0</v>
      </c>
      <c r="F198" s="345">
        <f t="shared" si="104"/>
        <v>2.2799999999999998</v>
      </c>
      <c r="G198" s="345">
        <f t="shared" si="105"/>
        <v>2.38</v>
      </c>
      <c r="H198" s="345">
        <f t="shared" si="98"/>
        <v>0</v>
      </c>
      <c r="I198" s="345">
        <f t="shared" si="106"/>
        <v>0</v>
      </c>
      <c r="J198" s="346">
        <f t="shared" si="107"/>
        <v>0</v>
      </c>
      <c r="K198" s="345">
        <f t="shared" si="99"/>
        <v>0</v>
      </c>
      <c r="L198" s="345">
        <f t="shared" si="108"/>
        <v>0</v>
      </c>
      <c r="M198" s="345">
        <f t="shared" si="100"/>
        <v>0</v>
      </c>
      <c r="N198" s="345">
        <f t="shared" si="109"/>
        <v>0</v>
      </c>
      <c r="O198" s="345">
        <f t="shared" si="110"/>
        <v>0</v>
      </c>
      <c r="P198" s="345">
        <f t="shared" si="101"/>
        <v>0</v>
      </c>
      <c r="Q198" s="433">
        <f t="shared" si="102"/>
        <v>0</v>
      </c>
      <c r="R198" s="347"/>
      <c r="S198" s="348">
        <f>'PLANILHA GERAL'!$J$100</f>
        <v>1849.78</v>
      </c>
      <c r="T198" s="348">
        <f>'PLANILHA GERAL'!$J$101</f>
        <v>13.75</v>
      </c>
      <c r="U198" s="348">
        <f>'PLANILHA GERAL'!$J$102</f>
        <v>8.0399999999999991</v>
      </c>
      <c r="V198" s="348">
        <f>'PLANILHA GERAL'!$J$103</f>
        <v>3.45</v>
      </c>
      <c r="W198" s="348">
        <f>'PLANILHA GERAL'!$J$104</f>
        <v>7.35</v>
      </c>
      <c r="X198" s="348">
        <f>'PLANILHA GERAL'!$J$105</f>
        <v>60.59</v>
      </c>
      <c r="Y198" s="348">
        <f>'PLANILHA GERAL'!$J$106</f>
        <v>219.78</v>
      </c>
      <c r="Z198" s="348">
        <f>'PLANILHA GERAL'!$J$107</f>
        <v>22.08</v>
      </c>
      <c r="AA198" s="348">
        <f>'PLANILHA GERAL'!$J$108</f>
        <v>51.71</v>
      </c>
      <c r="AB198" s="348">
        <f>'PLANILHA GERAL'!$J$109</f>
        <v>345.81</v>
      </c>
      <c r="AC198" s="348">
        <f t="shared" si="103"/>
        <v>0</v>
      </c>
    </row>
    <row r="199" spans="1:29" s="331" customFormat="1" ht="45" hidden="1" customHeight="1">
      <c r="A199" s="342">
        <f>DADOS!A22</f>
        <v>0</v>
      </c>
      <c r="B199" s="356">
        <f>DADOS!B22</f>
        <v>0</v>
      </c>
      <c r="C199" s="349">
        <v>1</v>
      </c>
      <c r="D199" s="345"/>
      <c r="E199" s="345">
        <f t="shared" si="111"/>
        <v>0</v>
      </c>
      <c r="F199" s="345">
        <f t="shared" si="104"/>
        <v>2.2799999999999998</v>
      </c>
      <c r="G199" s="345">
        <f t="shared" si="105"/>
        <v>2.38</v>
      </c>
      <c r="H199" s="345">
        <f t="shared" si="98"/>
        <v>0</v>
      </c>
      <c r="I199" s="345">
        <f t="shared" si="106"/>
        <v>0</v>
      </c>
      <c r="J199" s="346">
        <f t="shared" si="107"/>
        <v>0</v>
      </c>
      <c r="K199" s="345">
        <f t="shared" si="99"/>
        <v>0</v>
      </c>
      <c r="L199" s="345">
        <f t="shared" si="108"/>
        <v>0</v>
      </c>
      <c r="M199" s="345">
        <f t="shared" si="100"/>
        <v>0</v>
      </c>
      <c r="N199" s="345">
        <f t="shared" si="109"/>
        <v>0</v>
      </c>
      <c r="O199" s="345">
        <f t="shared" si="110"/>
        <v>0</v>
      </c>
      <c r="P199" s="345">
        <f t="shared" si="101"/>
        <v>0</v>
      </c>
      <c r="Q199" s="433">
        <f t="shared" si="102"/>
        <v>0</v>
      </c>
      <c r="R199" s="347"/>
      <c r="S199" s="348">
        <f>'PLANILHA GERAL'!$J$100</f>
        <v>1849.78</v>
      </c>
      <c r="T199" s="348">
        <f>'PLANILHA GERAL'!$J$101</f>
        <v>13.75</v>
      </c>
      <c r="U199" s="348">
        <f>'PLANILHA GERAL'!$J$102</f>
        <v>8.0399999999999991</v>
      </c>
      <c r="V199" s="348">
        <f>'PLANILHA GERAL'!$J$103</f>
        <v>3.45</v>
      </c>
      <c r="W199" s="348">
        <f>'PLANILHA GERAL'!$J$104</f>
        <v>7.35</v>
      </c>
      <c r="X199" s="348">
        <f>'PLANILHA GERAL'!$J$105</f>
        <v>60.59</v>
      </c>
      <c r="Y199" s="348">
        <f>'PLANILHA GERAL'!$J$106</f>
        <v>219.78</v>
      </c>
      <c r="Z199" s="348">
        <f>'PLANILHA GERAL'!$J$107</f>
        <v>22.08</v>
      </c>
      <c r="AA199" s="348">
        <f>'PLANILHA GERAL'!$J$108</f>
        <v>51.71</v>
      </c>
      <c r="AB199" s="348">
        <f>'PLANILHA GERAL'!$J$109</f>
        <v>345.81</v>
      </c>
      <c r="AC199" s="348">
        <f t="shared" si="103"/>
        <v>0</v>
      </c>
    </row>
    <row r="200" spans="1:29" s="331" customFormat="1" ht="45" hidden="1" customHeight="1">
      <c r="A200" s="342">
        <f>DADOS!A23</f>
        <v>0</v>
      </c>
      <c r="B200" s="356">
        <f>DADOS!B23</f>
        <v>0</v>
      </c>
      <c r="C200" s="349">
        <v>1</v>
      </c>
      <c r="D200" s="345"/>
      <c r="E200" s="345">
        <f t="shared" si="111"/>
        <v>0</v>
      </c>
      <c r="F200" s="345">
        <f t="shared" si="104"/>
        <v>2.2799999999999998</v>
      </c>
      <c r="G200" s="345">
        <f t="shared" si="105"/>
        <v>2.38</v>
      </c>
      <c r="H200" s="345">
        <f t="shared" si="98"/>
        <v>0</v>
      </c>
      <c r="I200" s="345">
        <f t="shared" si="106"/>
        <v>0</v>
      </c>
      <c r="J200" s="346">
        <f t="shared" si="107"/>
        <v>0</v>
      </c>
      <c r="K200" s="345">
        <f t="shared" si="99"/>
        <v>0</v>
      </c>
      <c r="L200" s="345">
        <f t="shared" si="108"/>
        <v>0</v>
      </c>
      <c r="M200" s="345">
        <f t="shared" si="100"/>
        <v>0</v>
      </c>
      <c r="N200" s="345">
        <f t="shared" si="109"/>
        <v>0</v>
      </c>
      <c r="O200" s="345">
        <f t="shared" si="110"/>
        <v>0</v>
      </c>
      <c r="P200" s="345">
        <f t="shared" si="101"/>
        <v>0</v>
      </c>
      <c r="Q200" s="433">
        <f t="shared" si="102"/>
        <v>0</v>
      </c>
      <c r="R200" s="347"/>
      <c r="S200" s="348">
        <f>'PLANILHA GERAL'!$J$100</f>
        <v>1849.78</v>
      </c>
      <c r="T200" s="348">
        <f>'PLANILHA GERAL'!$J$101</f>
        <v>13.75</v>
      </c>
      <c r="U200" s="348">
        <f>'PLANILHA GERAL'!$J$102</f>
        <v>8.0399999999999991</v>
      </c>
      <c r="V200" s="348">
        <f>'PLANILHA GERAL'!$J$103</f>
        <v>3.45</v>
      </c>
      <c r="W200" s="348">
        <f>'PLANILHA GERAL'!$J$104</f>
        <v>7.35</v>
      </c>
      <c r="X200" s="348">
        <f>'PLANILHA GERAL'!$J$105</f>
        <v>60.59</v>
      </c>
      <c r="Y200" s="348">
        <f>'PLANILHA GERAL'!$J$106</f>
        <v>219.78</v>
      </c>
      <c r="Z200" s="348">
        <f>'PLANILHA GERAL'!$J$107</f>
        <v>22.08</v>
      </c>
      <c r="AA200" s="348">
        <f>'PLANILHA GERAL'!$J$108</f>
        <v>51.71</v>
      </c>
      <c r="AB200" s="348">
        <f>'PLANILHA GERAL'!$J$109</f>
        <v>345.81</v>
      </c>
      <c r="AC200" s="348">
        <f t="shared" si="103"/>
        <v>0</v>
      </c>
    </row>
    <row r="201" spans="1:29" s="331" customFormat="1" ht="45" hidden="1" customHeight="1">
      <c r="A201" s="342">
        <f>DADOS!A24</f>
        <v>0</v>
      </c>
      <c r="B201" s="356">
        <f>DADOS!B24</f>
        <v>0</v>
      </c>
      <c r="C201" s="349">
        <v>1</v>
      </c>
      <c r="D201" s="345"/>
      <c r="E201" s="345">
        <f t="shared" si="111"/>
        <v>0</v>
      </c>
      <c r="F201" s="345">
        <f t="shared" si="104"/>
        <v>2.2799999999999998</v>
      </c>
      <c r="G201" s="345">
        <f t="shared" si="105"/>
        <v>2.38</v>
      </c>
      <c r="H201" s="345">
        <f t="shared" si="98"/>
        <v>0</v>
      </c>
      <c r="I201" s="345">
        <f t="shared" si="106"/>
        <v>0</v>
      </c>
      <c r="J201" s="346">
        <f t="shared" si="107"/>
        <v>0</v>
      </c>
      <c r="K201" s="345">
        <f t="shared" si="99"/>
        <v>0</v>
      </c>
      <c r="L201" s="345">
        <f t="shared" si="108"/>
        <v>0</v>
      </c>
      <c r="M201" s="345">
        <f t="shared" si="100"/>
        <v>0</v>
      </c>
      <c r="N201" s="345">
        <f t="shared" si="109"/>
        <v>0</v>
      </c>
      <c r="O201" s="345">
        <f t="shared" si="110"/>
        <v>0</v>
      </c>
      <c r="P201" s="345">
        <f t="shared" si="101"/>
        <v>0</v>
      </c>
      <c r="Q201" s="433">
        <f t="shared" si="102"/>
        <v>0</v>
      </c>
      <c r="R201" s="347"/>
      <c r="S201" s="348">
        <f>'PLANILHA GERAL'!$J$100</f>
        <v>1849.78</v>
      </c>
      <c r="T201" s="348">
        <f>'PLANILHA GERAL'!$J$101</f>
        <v>13.75</v>
      </c>
      <c r="U201" s="348">
        <f>'PLANILHA GERAL'!$J$102</f>
        <v>8.0399999999999991</v>
      </c>
      <c r="V201" s="348">
        <f>'PLANILHA GERAL'!$J$103</f>
        <v>3.45</v>
      </c>
      <c r="W201" s="348">
        <f>'PLANILHA GERAL'!$J$104</f>
        <v>7.35</v>
      </c>
      <c r="X201" s="348">
        <f>'PLANILHA GERAL'!$J$105</f>
        <v>60.59</v>
      </c>
      <c r="Y201" s="348">
        <f>'PLANILHA GERAL'!$J$106</f>
        <v>219.78</v>
      </c>
      <c r="Z201" s="348">
        <f>'PLANILHA GERAL'!$J$107</f>
        <v>22.08</v>
      </c>
      <c r="AA201" s="348">
        <f>'PLANILHA GERAL'!$J$108</f>
        <v>51.71</v>
      </c>
      <c r="AB201" s="348">
        <f>'PLANILHA GERAL'!$J$109</f>
        <v>345.81</v>
      </c>
      <c r="AC201" s="348">
        <f t="shared" si="103"/>
        <v>0</v>
      </c>
    </row>
    <row r="202" spans="1:29" s="331" customFormat="1" ht="45" hidden="1" customHeight="1">
      <c r="A202" s="342">
        <f>DADOS!A26</f>
        <v>0</v>
      </c>
      <c r="B202" s="356">
        <f>DADOS!B26</f>
        <v>0</v>
      </c>
      <c r="C202" s="349">
        <v>1</v>
      </c>
      <c r="D202" s="345"/>
      <c r="E202" s="345">
        <f t="shared" si="111"/>
        <v>0</v>
      </c>
      <c r="F202" s="345">
        <f t="shared" si="104"/>
        <v>2.2799999999999998</v>
      </c>
      <c r="G202" s="345">
        <f t="shared" si="105"/>
        <v>2.38</v>
      </c>
      <c r="H202" s="345">
        <f t="shared" si="98"/>
        <v>0</v>
      </c>
      <c r="I202" s="345">
        <f t="shared" si="106"/>
        <v>0</v>
      </c>
      <c r="J202" s="346">
        <f t="shared" si="107"/>
        <v>0</v>
      </c>
      <c r="K202" s="345">
        <f t="shared" si="99"/>
        <v>0</v>
      </c>
      <c r="L202" s="345">
        <f t="shared" si="108"/>
        <v>0</v>
      </c>
      <c r="M202" s="345">
        <f t="shared" si="100"/>
        <v>0</v>
      </c>
      <c r="N202" s="345">
        <f t="shared" si="109"/>
        <v>0</v>
      </c>
      <c r="O202" s="345">
        <f t="shared" si="110"/>
        <v>0</v>
      </c>
      <c r="P202" s="345">
        <f t="shared" si="101"/>
        <v>0</v>
      </c>
      <c r="Q202" s="433">
        <f t="shared" si="102"/>
        <v>0</v>
      </c>
      <c r="R202" s="347"/>
      <c r="S202" s="348">
        <f>'PLANILHA GERAL'!$J$100</f>
        <v>1849.78</v>
      </c>
      <c r="T202" s="348">
        <f>'PLANILHA GERAL'!$J$101</f>
        <v>13.75</v>
      </c>
      <c r="U202" s="348">
        <f>'PLANILHA GERAL'!$J$102</f>
        <v>8.0399999999999991</v>
      </c>
      <c r="V202" s="348">
        <f>'PLANILHA GERAL'!$J$103</f>
        <v>3.45</v>
      </c>
      <c r="W202" s="348">
        <f>'PLANILHA GERAL'!$J$104</f>
        <v>7.35</v>
      </c>
      <c r="X202" s="348">
        <f>'PLANILHA GERAL'!$J$105</f>
        <v>60.59</v>
      </c>
      <c r="Y202" s="348">
        <f>'PLANILHA GERAL'!$J$106</f>
        <v>219.78</v>
      </c>
      <c r="Z202" s="348">
        <f>'PLANILHA GERAL'!$J$107</f>
        <v>22.08</v>
      </c>
      <c r="AA202" s="348">
        <f>'PLANILHA GERAL'!$J$108</f>
        <v>51.71</v>
      </c>
      <c r="AB202" s="348">
        <f>'PLANILHA GERAL'!$J$109</f>
        <v>345.81</v>
      </c>
      <c r="AC202" s="348">
        <f t="shared" si="103"/>
        <v>0</v>
      </c>
    </row>
    <row r="203" spans="1:29" s="331" customFormat="1" ht="45" hidden="1" customHeight="1">
      <c r="A203" s="342">
        <f>DADOS!A27</f>
        <v>0</v>
      </c>
      <c r="B203" s="356">
        <f>DADOS!B27</f>
        <v>0</v>
      </c>
      <c r="C203" s="349">
        <v>1</v>
      </c>
      <c r="D203" s="345"/>
      <c r="E203" s="345">
        <f t="shared" si="111"/>
        <v>0</v>
      </c>
      <c r="F203" s="345">
        <f t="shared" si="104"/>
        <v>2.2799999999999998</v>
      </c>
      <c r="G203" s="345">
        <f t="shared" si="105"/>
        <v>2.38</v>
      </c>
      <c r="H203" s="345">
        <f t="shared" si="98"/>
        <v>0</v>
      </c>
      <c r="I203" s="345">
        <f t="shared" si="106"/>
        <v>0</v>
      </c>
      <c r="J203" s="346">
        <f t="shared" si="107"/>
        <v>0</v>
      </c>
      <c r="K203" s="345">
        <f t="shared" si="99"/>
        <v>0</v>
      </c>
      <c r="L203" s="345">
        <f t="shared" si="108"/>
        <v>0</v>
      </c>
      <c r="M203" s="345">
        <f t="shared" si="100"/>
        <v>0</v>
      </c>
      <c r="N203" s="345">
        <f t="shared" si="109"/>
        <v>0</v>
      </c>
      <c r="O203" s="345">
        <f t="shared" si="110"/>
        <v>0</v>
      </c>
      <c r="P203" s="345">
        <f t="shared" si="101"/>
        <v>0</v>
      </c>
      <c r="Q203" s="433">
        <f t="shared" si="102"/>
        <v>0</v>
      </c>
      <c r="R203" s="347"/>
      <c r="S203" s="348">
        <f>'PLANILHA GERAL'!$J$100</f>
        <v>1849.78</v>
      </c>
      <c r="T203" s="348">
        <f>'PLANILHA GERAL'!$J$101</f>
        <v>13.75</v>
      </c>
      <c r="U203" s="348">
        <f>'PLANILHA GERAL'!$J$102</f>
        <v>8.0399999999999991</v>
      </c>
      <c r="V203" s="348">
        <f>'PLANILHA GERAL'!$J$103</f>
        <v>3.45</v>
      </c>
      <c r="W203" s="348">
        <f>'PLANILHA GERAL'!$J$104</f>
        <v>7.35</v>
      </c>
      <c r="X203" s="348">
        <f>'PLANILHA GERAL'!$J$105</f>
        <v>60.59</v>
      </c>
      <c r="Y203" s="348">
        <f>'PLANILHA GERAL'!$J$106</f>
        <v>219.78</v>
      </c>
      <c r="Z203" s="348">
        <f>'PLANILHA GERAL'!$J$107</f>
        <v>22.08</v>
      </c>
      <c r="AA203" s="348">
        <f>'PLANILHA GERAL'!$J$108</f>
        <v>51.71</v>
      </c>
      <c r="AB203" s="348">
        <f>'PLANILHA GERAL'!$J$109</f>
        <v>345.81</v>
      </c>
      <c r="AC203" s="348">
        <f t="shared" si="103"/>
        <v>0</v>
      </c>
    </row>
    <row r="204" spans="1:29" s="331" customFormat="1" ht="45" hidden="1" customHeight="1">
      <c r="A204" s="342">
        <f>DADOS!A28</f>
        <v>0</v>
      </c>
      <c r="B204" s="356">
        <f>DADOS!B28</f>
        <v>0</v>
      </c>
      <c r="C204" s="349">
        <v>1</v>
      </c>
      <c r="D204" s="345"/>
      <c r="E204" s="345">
        <f t="shared" si="111"/>
        <v>0</v>
      </c>
      <c r="F204" s="345">
        <f t="shared" si="104"/>
        <v>2.2799999999999998</v>
      </c>
      <c r="G204" s="345">
        <f t="shared" si="105"/>
        <v>2.38</v>
      </c>
      <c r="H204" s="345">
        <f t="shared" si="98"/>
        <v>0</v>
      </c>
      <c r="I204" s="345">
        <f t="shared" si="106"/>
        <v>0</v>
      </c>
      <c r="J204" s="346">
        <f t="shared" si="107"/>
        <v>0</v>
      </c>
      <c r="K204" s="345">
        <f t="shared" si="99"/>
        <v>0</v>
      </c>
      <c r="L204" s="345">
        <f t="shared" si="108"/>
        <v>0</v>
      </c>
      <c r="M204" s="345">
        <f t="shared" si="100"/>
        <v>0</v>
      </c>
      <c r="N204" s="345">
        <f t="shared" si="109"/>
        <v>0</v>
      </c>
      <c r="O204" s="345">
        <f t="shared" si="110"/>
        <v>0</v>
      </c>
      <c r="P204" s="345">
        <f t="shared" si="101"/>
        <v>0</v>
      </c>
      <c r="Q204" s="433">
        <f t="shared" si="102"/>
        <v>0</v>
      </c>
      <c r="R204" s="347"/>
      <c r="S204" s="348">
        <f>'PLANILHA GERAL'!$J$100</f>
        <v>1849.78</v>
      </c>
      <c r="T204" s="348">
        <f>'PLANILHA GERAL'!$J$101</f>
        <v>13.75</v>
      </c>
      <c r="U204" s="348">
        <f>'PLANILHA GERAL'!$J$102</f>
        <v>8.0399999999999991</v>
      </c>
      <c r="V204" s="348">
        <f>'PLANILHA GERAL'!$J$103</f>
        <v>3.45</v>
      </c>
      <c r="W204" s="348">
        <f>'PLANILHA GERAL'!$J$104</f>
        <v>7.35</v>
      </c>
      <c r="X204" s="348">
        <f>'PLANILHA GERAL'!$J$105</f>
        <v>60.59</v>
      </c>
      <c r="Y204" s="348">
        <f>'PLANILHA GERAL'!$J$106</f>
        <v>219.78</v>
      </c>
      <c r="Z204" s="348">
        <f>'PLANILHA GERAL'!$J$107</f>
        <v>22.08</v>
      </c>
      <c r="AA204" s="348">
        <f>'PLANILHA GERAL'!$J$108</f>
        <v>51.71</v>
      </c>
      <c r="AB204" s="348">
        <f>'PLANILHA GERAL'!$J$109</f>
        <v>345.81</v>
      </c>
      <c r="AC204" s="348">
        <f t="shared" si="103"/>
        <v>0</v>
      </c>
    </row>
    <row r="205" spans="1:29" s="331" customFormat="1" ht="45" hidden="1" customHeight="1">
      <c r="A205" s="342">
        <f>DADOS!A29</f>
        <v>0</v>
      </c>
      <c r="B205" s="356">
        <f>DADOS!B29</f>
        <v>0</v>
      </c>
      <c r="C205" s="349">
        <v>1</v>
      </c>
      <c r="D205" s="345"/>
      <c r="E205" s="345">
        <f t="shared" si="111"/>
        <v>0</v>
      </c>
      <c r="F205" s="345">
        <f t="shared" si="104"/>
        <v>2.2799999999999998</v>
      </c>
      <c r="G205" s="345">
        <f t="shared" si="105"/>
        <v>2.38</v>
      </c>
      <c r="H205" s="345">
        <f t="shared" si="98"/>
        <v>0</v>
      </c>
      <c r="I205" s="345">
        <f t="shared" si="106"/>
        <v>0</v>
      </c>
      <c r="J205" s="346">
        <f t="shared" si="107"/>
        <v>0</v>
      </c>
      <c r="K205" s="345">
        <f t="shared" si="99"/>
        <v>0</v>
      </c>
      <c r="L205" s="345">
        <f t="shared" si="108"/>
        <v>0</v>
      </c>
      <c r="M205" s="345">
        <f t="shared" si="100"/>
        <v>0</v>
      </c>
      <c r="N205" s="345">
        <f t="shared" si="109"/>
        <v>0</v>
      </c>
      <c r="O205" s="345">
        <f t="shared" si="110"/>
        <v>0</v>
      </c>
      <c r="P205" s="345">
        <f t="shared" si="101"/>
        <v>0</v>
      </c>
      <c r="Q205" s="433">
        <f t="shared" si="102"/>
        <v>0</v>
      </c>
      <c r="R205" s="347"/>
      <c r="S205" s="348">
        <f>'PLANILHA GERAL'!$J$100</f>
        <v>1849.78</v>
      </c>
      <c r="T205" s="348">
        <f>'PLANILHA GERAL'!$J$101</f>
        <v>13.75</v>
      </c>
      <c r="U205" s="348">
        <f>'PLANILHA GERAL'!$J$102</f>
        <v>8.0399999999999991</v>
      </c>
      <c r="V205" s="348">
        <f>'PLANILHA GERAL'!$J$103</f>
        <v>3.45</v>
      </c>
      <c r="W205" s="348">
        <f>'PLANILHA GERAL'!$J$104</f>
        <v>7.35</v>
      </c>
      <c r="X205" s="348">
        <f>'PLANILHA GERAL'!$J$105</f>
        <v>60.59</v>
      </c>
      <c r="Y205" s="348">
        <f>'PLANILHA GERAL'!$J$106</f>
        <v>219.78</v>
      </c>
      <c r="Z205" s="348">
        <f>'PLANILHA GERAL'!$J$107</f>
        <v>22.08</v>
      </c>
      <c r="AA205" s="348">
        <f>'PLANILHA GERAL'!$J$108</f>
        <v>51.71</v>
      </c>
      <c r="AB205" s="348">
        <f>'PLANILHA GERAL'!$J$109</f>
        <v>345.81</v>
      </c>
      <c r="AC205" s="348">
        <f t="shared" si="103"/>
        <v>0</v>
      </c>
    </row>
    <row r="206" spans="1:29" s="331" customFormat="1" ht="45" hidden="1" customHeight="1">
      <c r="A206" s="342">
        <f>DADOS!A30</f>
        <v>0</v>
      </c>
      <c r="B206" s="356">
        <f>DADOS!B30</f>
        <v>0</v>
      </c>
      <c r="C206" s="349">
        <v>1</v>
      </c>
      <c r="D206" s="345"/>
      <c r="E206" s="345">
        <f t="shared" si="111"/>
        <v>0</v>
      </c>
      <c r="F206" s="345">
        <f t="shared" si="104"/>
        <v>2.2799999999999998</v>
      </c>
      <c r="G206" s="345">
        <f t="shared" si="105"/>
        <v>2.38</v>
      </c>
      <c r="H206" s="345">
        <f t="shared" si="98"/>
        <v>0</v>
      </c>
      <c r="I206" s="345">
        <f t="shared" si="106"/>
        <v>0</v>
      </c>
      <c r="J206" s="346">
        <f t="shared" si="107"/>
        <v>0</v>
      </c>
      <c r="K206" s="345">
        <f t="shared" si="99"/>
        <v>0</v>
      </c>
      <c r="L206" s="345">
        <f t="shared" si="108"/>
        <v>0</v>
      </c>
      <c r="M206" s="345">
        <f t="shared" si="100"/>
        <v>0</v>
      </c>
      <c r="N206" s="345">
        <f t="shared" si="109"/>
        <v>0</v>
      </c>
      <c r="O206" s="345">
        <f t="shared" si="110"/>
        <v>0</v>
      </c>
      <c r="P206" s="345">
        <f t="shared" si="101"/>
        <v>0</v>
      </c>
      <c r="Q206" s="433">
        <f t="shared" si="102"/>
        <v>0</v>
      </c>
      <c r="R206" s="347"/>
      <c r="S206" s="348">
        <f>'PLANILHA GERAL'!$J$100</f>
        <v>1849.78</v>
      </c>
      <c r="T206" s="348">
        <f>'PLANILHA GERAL'!$J$101</f>
        <v>13.75</v>
      </c>
      <c r="U206" s="348">
        <f>'PLANILHA GERAL'!$J$102</f>
        <v>8.0399999999999991</v>
      </c>
      <c r="V206" s="348">
        <f>'PLANILHA GERAL'!$J$103</f>
        <v>3.45</v>
      </c>
      <c r="W206" s="348">
        <f>'PLANILHA GERAL'!$J$104</f>
        <v>7.35</v>
      </c>
      <c r="X206" s="348">
        <f>'PLANILHA GERAL'!$J$105</f>
        <v>60.59</v>
      </c>
      <c r="Y206" s="348">
        <f>'PLANILHA GERAL'!$J$106</f>
        <v>219.78</v>
      </c>
      <c r="Z206" s="348">
        <f>'PLANILHA GERAL'!$J$107</f>
        <v>22.08</v>
      </c>
      <c r="AA206" s="348">
        <f>'PLANILHA GERAL'!$J$108</f>
        <v>51.71</v>
      </c>
      <c r="AB206" s="348">
        <f>'PLANILHA GERAL'!$J$109</f>
        <v>345.81</v>
      </c>
      <c r="AC206" s="348">
        <f t="shared" si="103"/>
        <v>0</v>
      </c>
    </row>
    <row r="207" spans="1:29" s="331" customFormat="1" ht="45" hidden="1" customHeight="1">
      <c r="A207" s="342"/>
      <c r="B207" s="356"/>
      <c r="C207" s="349">
        <v>1</v>
      </c>
      <c r="D207" s="345"/>
      <c r="E207" s="345">
        <f t="shared" si="111"/>
        <v>0</v>
      </c>
      <c r="F207" s="345">
        <f t="shared" si="104"/>
        <v>2.2799999999999998</v>
      </c>
      <c r="G207" s="345">
        <f t="shared" si="105"/>
        <v>2.38</v>
      </c>
      <c r="H207" s="345">
        <f t="shared" si="98"/>
        <v>0</v>
      </c>
      <c r="I207" s="345">
        <f t="shared" si="106"/>
        <v>0</v>
      </c>
      <c r="J207" s="346">
        <f t="shared" si="107"/>
        <v>0</v>
      </c>
      <c r="K207" s="345">
        <f t="shared" si="99"/>
        <v>0</v>
      </c>
      <c r="L207" s="345">
        <f t="shared" si="108"/>
        <v>0</v>
      </c>
      <c r="M207" s="345">
        <f t="shared" si="100"/>
        <v>0</v>
      </c>
      <c r="N207" s="345">
        <f t="shared" si="109"/>
        <v>0</v>
      </c>
      <c r="O207" s="345">
        <f t="shared" si="110"/>
        <v>0</v>
      </c>
      <c r="P207" s="345">
        <f t="shared" si="101"/>
        <v>0</v>
      </c>
      <c r="Q207" s="433">
        <f t="shared" si="102"/>
        <v>0</v>
      </c>
      <c r="R207" s="347"/>
      <c r="S207" s="348">
        <f>'PLANILHA GERAL'!$J$100</f>
        <v>1849.78</v>
      </c>
      <c r="T207" s="348">
        <f>'PLANILHA GERAL'!$J$101</f>
        <v>13.75</v>
      </c>
      <c r="U207" s="348">
        <f>'PLANILHA GERAL'!$J$102</f>
        <v>8.0399999999999991</v>
      </c>
      <c r="V207" s="348">
        <f>'PLANILHA GERAL'!$J$103</f>
        <v>3.45</v>
      </c>
      <c r="W207" s="348">
        <f>'PLANILHA GERAL'!$J$104</f>
        <v>7.35</v>
      </c>
      <c r="X207" s="348">
        <f>'PLANILHA GERAL'!$J$105</f>
        <v>60.59</v>
      </c>
      <c r="Y207" s="348">
        <f>'PLANILHA GERAL'!$J$106</f>
        <v>219.78</v>
      </c>
      <c r="Z207" s="348">
        <f>'PLANILHA GERAL'!$J$107</f>
        <v>22.08</v>
      </c>
      <c r="AA207" s="348">
        <f>'PLANILHA GERAL'!$J$108</f>
        <v>51.71</v>
      </c>
      <c r="AB207" s="348">
        <f>'PLANILHA GERAL'!$J$109</f>
        <v>345.81</v>
      </c>
      <c r="AC207" s="348">
        <f t="shared" si="103"/>
        <v>0</v>
      </c>
    </row>
    <row r="208" spans="1:29" s="331" customFormat="1" ht="45" hidden="1" customHeight="1">
      <c r="A208" s="342"/>
      <c r="B208" s="356"/>
      <c r="C208" s="349">
        <v>1</v>
      </c>
      <c r="D208" s="345"/>
      <c r="E208" s="345">
        <f t="shared" si="111"/>
        <v>0</v>
      </c>
      <c r="F208" s="345">
        <f t="shared" si="104"/>
        <v>2.2799999999999998</v>
      </c>
      <c r="G208" s="345">
        <f t="shared" si="105"/>
        <v>2.38</v>
      </c>
      <c r="H208" s="345">
        <f t="shared" si="98"/>
        <v>0</v>
      </c>
      <c r="I208" s="345">
        <f t="shared" si="106"/>
        <v>0</v>
      </c>
      <c r="J208" s="346">
        <f t="shared" si="107"/>
        <v>0</v>
      </c>
      <c r="K208" s="345">
        <f t="shared" si="99"/>
        <v>0</v>
      </c>
      <c r="L208" s="345">
        <f t="shared" si="108"/>
        <v>0</v>
      </c>
      <c r="M208" s="345">
        <f t="shared" si="100"/>
        <v>0</v>
      </c>
      <c r="N208" s="345">
        <f t="shared" si="109"/>
        <v>0</v>
      </c>
      <c r="O208" s="345">
        <f t="shared" si="110"/>
        <v>0</v>
      </c>
      <c r="P208" s="345">
        <f t="shared" si="101"/>
        <v>0</v>
      </c>
      <c r="Q208" s="433">
        <f t="shared" si="102"/>
        <v>0</v>
      </c>
      <c r="R208" s="347"/>
      <c r="S208" s="348">
        <f>'PLANILHA GERAL'!$J$100</f>
        <v>1849.78</v>
      </c>
      <c r="T208" s="348">
        <f>'PLANILHA GERAL'!$J$101</f>
        <v>13.75</v>
      </c>
      <c r="U208" s="348">
        <f>'PLANILHA GERAL'!$J$102</f>
        <v>8.0399999999999991</v>
      </c>
      <c r="V208" s="348">
        <f>'PLANILHA GERAL'!$J$103</f>
        <v>3.45</v>
      </c>
      <c r="W208" s="348">
        <f>'PLANILHA GERAL'!$J$104</f>
        <v>7.35</v>
      </c>
      <c r="X208" s="348">
        <f>'PLANILHA GERAL'!$J$105</f>
        <v>60.59</v>
      </c>
      <c r="Y208" s="348">
        <f>'PLANILHA GERAL'!$J$106</f>
        <v>219.78</v>
      </c>
      <c r="Z208" s="348">
        <f>'PLANILHA GERAL'!$J$107</f>
        <v>22.08</v>
      </c>
      <c r="AA208" s="348">
        <f>'PLANILHA GERAL'!$J$108</f>
        <v>51.71</v>
      </c>
      <c r="AB208" s="348">
        <f>'PLANILHA GERAL'!$J$109</f>
        <v>345.81</v>
      </c>
      <c r="AC208" s="348">
        <f t="shared" si="103"/>
        <v>0</v>
      </c>
    </row>
    <row r="209" spans="1:35" s="331" customFormat="1" ht="45" hidden="1" customHeight="1" thickBot="1">
      <c r="A209" s="342"/>
      <c r="B209" s="356"/>
      <c r="C209" s="357">
        <v>1</v>
      </c>
      <c r="D209" s="345"/>
      <c r="E209" s="358">
        <f t="shared" si="111"/>
        <v>0</v>
      </c>
      <c r="F209" s="345">
        <f t="shared" si="104"/>
        <v>2.2799999999999998</v>
      </c>
      <c r="G209" s="345">
        <f t="shared" si="105"/>
        <v>2.38</v>
      </c>
      <c r="H209" s="345">
        <f t="shared" si="98"/>
        <v>0</v>
      </c>
      <c r="I209" s="345">
        <f t="shared" si="106"/>
        <v>0</v>
      </c>
      <c r="J209" s="346">
        <f t="shared" si="107"/>
        <v>0</v>
      </c>
      <c r="K209" s="345">
        <f t="shared" si="99"/>
        <v>0</v>
      </c>
      <c r="L209" s="345">
        <f t="shared" si="108"/>
        <v>0</v>
      </c>
      <c r="M209" s="345">
        <f t="shared" si="100"/>
        <v>0</v>
      </c>
      <c r="N209" s="345">
        <f t="shared" si="109"/>
        <v>0</v>
      </c>
      <c r="O209" s="345">
        <f t="shared" si="110"/>
        <v>0</v>
      </c>
      <c r="P209" s="345">
        <f t="shared" si="101"/>
        <v>0</v>
      </c>
      <c r="Q209" s="433">
        <f t="shared" si="102"/>
        <v>0</v>
      </c>
      <c r="R209" s="347"/>
      <c r="S209" s="348">
        <f>'PLANILHA GERAL'!$J$100</f>
        <v>1849.78</v>
      </c>
      <c r="T209" s="348">
        <f>'PLANILHA GERAL'!$J$101</f>
        <v>13.75</v>
      </c>
      <c r="U209" s="348">
        <f>'PLANILHA GERAL'!$J$102</f>
        <v>8.0399999999999991</v>
      </c>
      <c r="V209" s="348">
        <f>'PLANILHA GERAL'!$J$103</f>
        <v>3.45</v>
      </c>
      <c r="W209" s="348">
        <f>'PLANILHA GERAL'!$J$104</f>
        <v>7.35</v>
      </c>
      <c r="X209" s="348">
        <f>'PLANILHA GERAL'!$J$105</f>
        <v>60.59</v>
      </c>
      <c r="Y209" s="348">
        <f>'PLANILHA GERAL'!$J$106</f>
        <v>219.78</v>
      </c>
      <c r="Z209" s="348">
        <f>'PLANILHA GERAL'!$J$107</f>
        <v>22.08</v>
      </c>
      <c r="AA209" s="348">
        <f>'PLANILHA GERAL'!$J$108</f>
        <v>51.71</v>
      </c>
      <c r="AB209" s="348">
        <f>'PLANILHA GERAL'!$J$109</f>
        <v>345.81</v>
      </c>
      <c r="AC209" s="348">
        <f t="shared" si="103"/>
        <v>0</v>
      </c>
    </row>
    <row r="210" spans="1:35" s="331" customFormat="1" ht="45" hidden="1" customHeight="1" thickBot="1">
      <c r="A210" s="1610" t="s">
        <v>22</v>
      </c>
      <c r="B210" s="1611"/>
      <c r="C210" s="350"/>
      <c r="D210" s="350"/>
      <c r="E210" s="350">
        <f>SUM(E190:E209)</f>
        <v>0</v>
      </c>
      <c r="F210" s="350"/>
      <c r="G210" s="350"/>
      <c r="H210" s="350">
        <f>SUM(H190:H209)</f>
        <v>0</v>
      </c>
      <c r="I210" s="350">
        <f t="shared" ref="I210:Q210" si="112">SUM(I190:I209)</f>
        <v>0</v>
      </c>
      <c r="J210" s="350">
        <f t="shared" si="112"/>
        <v>0</v>
      </c>
      <c r="K210" s="350">
        <f t="shared" si="112"/>
        <v>0</v>
      </c>
      <c r="L210" s="350">
        <f t="shared" si="112"/>
        <v>0</v>
      </c>
      <c r="M210" s="350">
        <f t="shared" si="112"/>
        <v>0</v>
      </c>
      <c r="N210" s="350">
        <f t="shared" si="112"/>
        <v>0</v>
      </c>
      <c r="O210" s="350">
        <f t="shared" si="112"/>
        <v>0</v>
      </c>
      <c r="P210" s="350">
        <f t="shared" si="112"/>
        <v>0</v>
      </c>
      <c r="Q210" s="350">
        <f t="shared" si="112"/>
        <v>0</v>
      </c>
      <c r="R210" s="351"/>
    </row>
    <row r="211" spans="1:35" s="331" customFormat="1" ht="45" customHeight="1">
      <c r="C211" s="355"/>
      <c r="D211" s="355"/>
      <c r="E211" s="355"/>
      <c r="F211" s="355"/>
      <c r="G211" s="355"/>
      <c r="AC211" s="359"/>
    </row>
    <row r="212" spans="1:35" s="331" customFormat="1" ht="45" customHeight="1">
      <c r="A212" s="1627" t="s">
        <v>325</v>
      </c>
      <c r="B212" s="1627"/>
      <c r="C212" s="1627"/>
      <c r="D212" s="1627"/>
      <c r="E212" s="1627"/>
      <c r="F212" s="355"/>
      <c r="G212" s="1587" t="s">
        <v>427</v>
      </c>
      <c r="H212" s="1588"/>
      <c r="I212" s="1589"/>
      <c r="K212" s="1587" t="s">
        <v>724</v>
      </c>
      <c r="L212" s="1588"/>
      <c r="M212" s="1589"/>
      <c r="AB212" s="1595" t="str">
        <f>A212</f>
        <v>CAIXA PARA BOCA DE LOBO</v>
      </c>
      <c r="AC212" s="1596"/>
      <c r="AE212" s="1595" t="str">
        <f>G212</f>
        <v>TAMPA PARA BOCA DE LOBO</v>
      </c>
      <c r="AF212" s="1596"/>
      <c r="AH212" s="1595" t="str">
        <f>K212</f>
        <v>RECUPERAÇÃO DE BL</v>
      </c>
      <c r="AI212" s="1596"/>
    </row>
    <row r="213" spans="1:35" ht="63" customHeight="1">
      <c r="A213" s="341" t="s">
        <v>6</v>
      </c>
      <c r="B213" s="341" t="s">
        <v>222</v>
      </c>
      <c r="C213" s="1626" t="s">
        <v>224</v>
      </c>
      <c r="D213" s="1626"/>
      <c r="E213" s="1626"/>
      <c r="G213" s="341" t="s">
        <v>6</v>
      </c>
      <c r="H213" s="341" t="s">
        <v>222</v>
      </c>
      <c r="I213" s="360" t="s">
        <v>224</v>
      </c>
      <c r="K213" s="341" t="s">
        <v>6</v>
      </c>
      <c r="L213" s="341" t="s">
        <v>222</v>
      </c>
      <c r="M213" s="360" t="s">
        <v>224</v>
      </c>
      <c r="AB213" s="360" t="s">
        <v>484</v>
      </c>
      <c r="AC213" s="360" t="s">
        <v>22</v>
      </c>
      <c r="AE213" s="360" t="s">
        <v>484</v>
      </c>
      <c r="AF213" s="360" t="s">
        <v>22</v>
      </c>
      <c r="AH213" s="360" t="s">
        <v>484</v>
      </c>
      <c r="AI213" s="360" t="s">
        <v>22</v>
      </c>
    </row>
    <row r="214" spans="1:35" ht="17.25" hidden="1" customHeight="1">
      <c r="A214" s="341">
        <f>DADOS!A12</f>
        <v>1</v>
      </c>
      <c r="B214" s="360"/>
      <c r="C214" s="1592">
        <f t="shared" ref="C214" si="113">C17</f>
        <v>0</v>
      </c>
      <c r="D214" s="1593"/>
      <c r="E214" s="1594"/>
      <c r="G214" s="341">
        <f>A214</f>
        <v>1</v>
      </c>
      <c r="H214" s="360">
        <f>B214</f>
        <v>0</v>
      </c>
      <c r="I214" s="365">
        <f>C214</f>
        <v>0</v>
      </c>
      <c r="K214" s="341">
        <f>G214</f>
        <v>1</v>
      </c>
      <c r="L214" s="360">
        <f>H214</f>
        <v>0</v>
      </c>
      <c r="M214" s="365"/>
      <c r="AB214" s="362">
        <f>'PLANILHA GERAL'!$J$111</f>
        <v>1978.71</v>
      </c>
      <c r="AC214" s="362">
        <f t="shared" ref="AC214:AC278" si="114">C214*AB214</f>
        <v>0</v>
      </c>
      <c r="AE214" s="362">
        <f>'PLANILHA GERAL'!$J$113</f>
        <v>225.96</v>
      </c>
      <c r="AF214" s="362">
        <f>I214*AE214</f>
        <v>0</v>
      </c>
      <c r="AH214" s="362">
        <f>'PLANILHA GERAL'!$J$113</f>
        <v>225.96</v>
      </c>
      <c r="AI214" s="362">
        <f>M214*AH214</f>
        <v>0</v>
      </c>
    </row>
    <row r="215" spans="1:35" ht="50.1" customHeight="1">
      <c r="A215" s="341">
        <v>1</v>
      </c>
      <c r="B215" s="343" t="s">
        <v>1929</v>
      </c>
      <c r="C215" s="1592">
        <f>C347*2</f>
        <v>126</v>
      </c>
      <c r="D215" s="1593"/>
      <c r="E215" s="1594"/>
      <c r="G215" s="341">
        <v>1</v>
      </c>
      <c r="H215" s="360" t="str">
        <f t="shared" ref="H215:I217" si="115">B215</f>
        <v>ANANINDEUA</v>
      </c>
      <c r="I215" s="365">
        <f t="shared" si="115"/>
        <v>126</v>
      </c>
      <c r="K215" s="341">
        <f>G215</f>
        <v>1</v>
      </c>
      <c r="L215" s="1356">
        <f>ROUNDUP(('MC-PAV'!C56-'MC-PAV'!C19),)*50%</f>
        <v>5500</v>
      </c>
      <c r="M215" s="365">
        <f>ROUNDUP(L215/60,)*2</f>
        <v>184</v>
      </c>
      <c r="AB215" s="362">
        <f>'PLANILHA GERAL'!$J$111</f>
        <v>1978.71</v>
      </c>
      <c r="AC215" s="362">
        <f t="shared" ref="AC215:AC217" si="116">C215*AB215</f>
        <v>249317.46</v>
      </c>
      <c r="AE215" s="362">
        <f>'PLANILHA GERAL'!$J$113</f>
        <v>225.96</v>
      </c>
      <c r="AF215" s="362">
        <f>I215*AE215</f>
        <v>28470.959999999999</v>
      </c>
      <c r="AH215" s="362">
        <f>'PLANILHA GERAL'!$J$113</f>
        <v>225.96</v>
      </c>
      <c r="AI215" s="362">
        <f>M215*AH215</f>
        <v>41576.639999999999</v>
      </c>
    </row>
    <row r="216" spans="1:35" ht="50.1" hidden="1" customHeight="1">
      <c r="A216" s="341">
        <v>3</v>
      </c>
      <c r="B216" s="360"/>
      <c r="C216" s="1592"/>
      <c r="D216" s="1593"/>
      <c r="E216" s="1594"/>
      <c r="G216" s="341">
        <f>A216</f>
        <v>3</v>
      </c>
      <c r="H216" s="360">
        <f t="shared" si="115"/>
        <v>0</v>
      </c>
      <c r="I216" s="365">
        <f t="shared" si="115"/>
        <v>0</v>
      </c>
      <c r="K216" s="341">
        <f>G216</f>
        <v>3</v>
      </c>
      <c r="L216" s="360">
        <f>H216</f>
        <v>0</v>
      </c>
      <c r="M216" s="365"/>
      <c r="AB216" s="362">
        <f>'PLANILHA GERAL'!$J$111</f>
        <v>1978.71</v>
      </c>
      <c r="AC216" s="362">
        <f t="shared" si="116"/>
        <v>0</v>
      </c>
      <c r="AE216" s="362">
        <f>'PLANILHA GERAL'!$J$113</f>
        <v>225.96</v>
      </c>
      <c r="AF216" s="362">
        <f>I216*AE216</f>
        <v>0</v>
      </c>
      <c r="AH216" s="362">
        <f>'PLANILHA GERAL'!$J$113</f>
        <v>225.96</v>
      </c>
      <c r="AI216" s="362">
        <f>M216*AH216</f>
        <v>0</v>
      </c>
    </row>
    <row r="217" spans="1:35" ht="50.1" hidden="1" customHeight="1">
      <c r="A217" s="341">
        <v>4</v>
      </c>
      <c r="B217" s="360"/>
      <c r="C217" s="1592"/>
      <c r="D217" s="1593"/>
      <c r="E217" s="1594"/>
      <c r="G217" s="341">
        <f>A217</f>
        <v>4</v>
      </c>
      <c r="H217" s="360">
        <f t="shared" si="115"/>
        <v>0</v>
      </c>
      <c r="I217" s="365">
        <f t="shared" si="115"/>
        <v>0</v>
      </c>
      <c r="K217" s="341">
        <f>G217</f>
        <v>4</v>
      </c>
      <c r="L217" s="360">
        <f>H217</f>
        <v>0</v>
      </c>
      <c r="M217" s="365"/>
      <c r="AB217" s="362">
        <f>'PLANILHA GERAL'!$J$111</f>
        <v>1978.71</v>
      </c>
      <c r="AC217" s="362">
        <f t="shared" si="116"/>
        <v>0</v>
      </c>
      <c r="AE217" s="362">
        <f>'PLANILHA GERAL'!$J$113</f>
        <v>225.96</v>
      </c>
      <c r="AF217" s="362">
        <f>I217*AE217</f>
        <v>0</v>
      </c>
      <c r="AH217" s="362">
        <f>'PLANILHA GERAL'!$J$113</f>
        <v>225.96</v>
      </c>
      <c r="AI217" s="362">
        <f>M217*AH217</f>
        <v>0</v>
      </c>
    </row>
    <row r="218" spans="1:35" ht="50.1" hidden="1" customHeight="1">
      <c r="A218" s="341">
        <v>5</v>
      </c>
      <c r="B218" s="360"/>
      <c r="C218" s="1592"/>
      <c r="D218" s="1593"/>
      <c r="E218" s="1594"/>
      <c r="G218" s="341"/>
      <c r="H218" s="360"/>
      <c r="I218" s="365"/>
      <c r="K218" s="341"/>
      <c r="L218" s="360"/>
      <c r="M218" s="365"/>
      <c r="AB218" s="362"/>
      <c r="AC218" s="362"/>
      <c r="AE218" s="362"/>
      <c r="AF218" s="362"/>
      <c r="AH218" s="362"/>
      <c r="AI218" s="362"/>
    </row>
    <row r="219" spans="1:35" ht="50.1" hidden="1" customHeight="1">
      <c r="A219" s="341"/>
      <c r="B219" s="360"/>
      <c r="C219" s="1592">
        <v>0</v>
      </c>
      <c r="D219" s="1593"/>
      <c r="E219" s="1594"/>
      <c r="G219" s="341"/>
      <c r="H219" s="360"/>
      <c r="I219" s="365"/>
      <c r="K219" s="341"/>
      <c r="L219" s="360"/>
      <c r="M219" s="365"/>
      <c r="AB219" s="362"/>
      <c r="AC219" s="362"/>
      <c r="AE219" s="362"/>
      <c r="AF219" s="362"/>
      <c r="AH219" s="362"/>
      <c r="AI219" s="362"/>
    </row>
    <row r="220" spans="1:35" ht="50.1" hidden="1" customHeight="1">
      <c r="A220" s="341"/>
      <c r="B220" s="360"/>
      <c r="C220" s="616"/>
      <c r="D220" s="617"/>
      <c r="E220" s="618"/>
      <c r="G220" s="341"/>
      <c r="H220" s="360"/>
      <c r="I220" s="365"/>
      <c r="K220" s="341"/>
      <c r="L220" s="360"/>
      <c r="M220" s="365"/>
      <c r="AB220" s="362"/>
      <c r="AC220" s="362"/>
      <c r="AE220" s="362"/>
      <c r="AF220" s="362"/>
      <c r="AH220" s="362"/>
      <c r="AI220" s="362"/>
    </row>
    <row r="221" spans="1:35" ht="50.1" hidden="1" customHeight="1">
      <c r="A221" s="341"/>
      <c r="B221" s="360"/>
      <c r="C221" s="616"/>
      <c r="D221" s="617"/>
      <c r="E221" s="618"/>
      <c r="G221" s="341"/>
      <c r="H221" s="360"/>
      <c r="I221" s="365"/>
      <c r="K221" s="341"/>
      <c r="L221" s="360"/>
      <c r="M221" s="365"/>
      <c r="AB221" s="362"/>
      <c r="AC221" s="362"/>
      <c r="AE221" s="362"/>
      <c r="AF221" s="362"/>
      <c r="AH221" s="362"/>
      <c r="AI221" s="362"/>
    </row>
    <row r="222" spans="1:35" ht="50.1" hidden="1" customHeight="1">
      <c r="A222" s="341"/>
      <c r="B222" s="360"/>
      <c r="C222" s="616"/>
      <c r="D222" s="617"/>
      <c r="E222" s="618"/>
      <c r="G222" s="341"/>
      <c r="H222" s="360"/>
      <c r="I222" s="365"/>
      <c r="K222" s="341"/>
      <c r="L222" s="360"/>
      <c r="M222" s="365"/>
      <c r="AB222" s="362"/>
      <c r="AC222" s="362"/>
      <c r="AE222" s="362"/>
      <c r="AF222" s="362"/>
      <c r="AH222" s="362"/>
      <c r="AI222" s="362"/>
    </row>
    <row r="223" spans="1:35" ht="50.1" hidden="1" customHeight="1">
      <c r="A223" s="341"/>
      <c r="B223" s="360"/>
      <c r="C223" s="616"/>
      <c r="D223" s="617"/>
      <c r="E223" s="618"/>
      <c r="G223" s="341"/>
      <c r="H223" s="360"/>
      <c r="I223" s="365"/>
      <c r="K223" s="341"/>
      <c r="L223" s="360"/>
      <c r="M223" s="365"/>
      <c r="AB223" s="362"/>
      <c r="AC223" s="362"/>
      <c r="AE223" s="362"/>
      <c r="AF223" s="362"/>
      <c r="AH223" s="362"/>
      <c r="AI223" s="362"/>
    </row>
    <row r="224" spans="1:35" ht="50.1" hidden="1" customHeight="1">
      <c r="A224" s="341"/>
      <c r="B224" s="360"/>
      <c r="C224" s="616"/>
      <c r="D224" s="617"/>
      <c r="E224" s="618"/>
      <c r="G224" s="341"/>
      <c r="H224" s="360"/>
      <c r="I224" s="365"/>
      <c r="K224" s="341"/>
      <c r="L224" s="360"/>
      <c r="M224" s="365"/>
      <c r="AB224" s="362"/>
      <c r="AC224" s="362"/>
      <c r="AE224" s="362"/>
      <c r="AF224" s="362"/>
      <c r="AH224" s="362"/>
      <c r="AI224" s="362"/>
    </row>
    <row r="225" spans="1:35" ht="50.1" hidden="1" customHeight="1">
      <c r="A225" s="341"/>
      <c r="B225" s="360"/>
      <c r="C225" s="616"/>
      <c r="D225" s="617"/>
      <c r="E225" s="618"/>
      <c r="G225" s="341"/>
      <c r="H225" s="360"/>
      <c r="I225" s="365"/>
      <c r="K225" s="341"/>
      <c r="L225" s="360"/>
      <c r="M225" s="365"/>
      <c r="AB225" s="362"/>
      <c r="AC225" s="362"/>
      <c r="AE225" s="362"/>
      <c r="AF225" s="362"/>
      <c r="AH225" s="362"/>
      <c r="AI225" s="362"/>
    </row>
    <row r="226" spans="1:35" ht="50.1" hidden="1" customHeight="1">
      <c r="A226" s="341"/>
      <c r="B226" s="360"/>
      <c r="C226" s="616"/>
      <c r="D226" s="617"/>
      <c r="E226" s="618"/>
      <c r="G226" s="341"/>
      <c r="H226" s="360"/>
      <c r="I226" s="365"/>
      <c r="K226" s="341"/>
      <c r="L226" s="360"/>
      <c r="M226" s="365"/>
      <c r="AB226" s="362"/>
      <c r="AC226" s="362"/>
      <c r="AE226" s="362"/>
      <c r="AF226" s="362"/>
      <c r="AH226" s="362"/>
      <c r="AI226" s="362"/>
    </row>
    <row r="227" spans="1:35" ht="50.1" hidden="1" customHeight="1">
      <c r="A227" s="341"/>
      <c r="B227" s="360"/>
      <c r="C227" s="616"/>
      <c r="D227" s="617"/>
      <c r="E227" s="618"/>
      <c r="G227" s="341"/>
      <c r="H227" s="360"/>
      <c r="I227" s="365"/>
      <c r="K227" s="341"/>
      <c r="L227" s="360"/>
      <c r="M227" s="365"/>
      <c r="AB227" s="362"/>
      <c r="AC227" s="362"/>
      <c r="AE227" s="362"/>
      <c r="AF227" s="362"/>
      <c r="AH227" s="362"/>
      <c r="AI227" s="362"/>
    </row>
    <row r="228" spans="1:35" ht="50.1" hidden="1" customHeight="1">
      <c r="A228" s="341"/>
      <c r="B228" s="360"/>
      <c r="C228" s="616"/>
      <c r="D228" s="617"/>
      <c r="E228" s="618"/>
      <c r="G228" s="341"/>
      <c r="H228" s="360"/>
      <c r="I228" s="365"/>
      <c r="K228" s="341"/>
      <c r="L228" s="360"/>
      <c r="M228" s="365"/>
      <c r="AB228" s="362"/>
      <c r="AC228" s="362"/>
      <c r="AE228" s="362"/>
      <c r="AF228" s="362"/>
      <c r="AH228" s="362"/>
      <c r="AI228" s="362"/>
    </row>
    <row r="229" spans="1:35" ht="50.1" hidden="1" customHeight="1">
      <c r="A229" s="341"/>
      <c r="B229" s="360"/>
      <c r="C229" s="616"/>
      <c r="D229" s="617"/>
      <c r="E229" s="618"/>
      <c r="G229" s="341"/>
      <c r="H229" s="360"/>
      <c r="I229" s="365"/>
      <c r="K229" s="341"/>
      <c r="L229" s="360"/>
      <c r="M229" s="365"/>
      <c r="AB229" s="362"/>
      <c r="AC229" s="362"/>
      <c r="AE229" s="362"/>
      <c r="AF229" s="362"/>
      <c r="AH229" s="362"/>
      <c r="AI229" s="362"/>
    </row>
    <row r="230" spans="1:35" ht="50.1" hidden="1" customHeight="1">
      <c r="A230" s="341"/>
      <c r="B230" s="360"/>
      <c r="C230" s="616"/>
      <c r="D230" s="617"/>
      <c r="E230" s="618"/>
      <c r="G230" s="341"/>
      <c r="H230" s="360"/>
      <c r="I230" s="365"/>
      <c r="K230" s="341"/>
      <c r="L230" s="360"/>
      <c r="M230" s="365"/>
      <c r="AB230" s="362"/>
      <c r="AC230" s="362"/>
      <c r="AE230" s="362"/>
      <c r="AF230" s="362"/>
      <c r="AH230" s="362"/>
      <c r="AI230" s="362"/>
    </row>
    <row r="231" spans="1:35" ht="50.1" hidden="1" customHeight="1">
      <c r="A231" s="341"/>
      <c r="B231" s="360"/>
      <c r="C231" s="616"/>
      <c r="D231" s="617"/>
      <c r="E231" s="618"/>
      <c r="G231" s="341"/>
      <c r="H231" s="360"/>
      <c r="I231" s="365"/>
      <c r="K231" s="341"/>
      <c r="L231" s="360"/>
      <c r="M231" s="365"/>
      <c r="AB231" s="362"/>
      <c r="AC231" s="362"/>
      <c r="AE231" s="362"/>
      <c r="AF231" s="362"/>
      <c r="AH231" s="362"/>
      <c r="AI231" s="362"/>
    </row>
    <row r="232" spans="1:35" ht="50.1" hidden="1" customHeight="1">
      <c r="A232" s="341"/>
      <c r="B232" s="360"/>
      <c r="C232" s="616"/>
      <c r="D232" s="617"/>
      <c r="E232" s="618"/>
      <c r="G232" s="341"/>
      <c r="H232" s="360"/>
      <c r="I232" s="365"/>
      <c r="K232" s="341"/>
      <c r="L232" s="360"/>
      <c r="M232" s="365"/>
      <c r="AB232" s="362"/>
      <c r="AC232" s="362"/>
      <c r="AE232" s="362"/>
      <c r="AF232" s="362"/>
      <c r="AH232" s="362"/>
      <c r="AI232" s="362"/>
    </row>
    <row r="233" spans="1:35" ht="50.1" hidden="1" customHeight="1">
      <c r="A233" s="341"/>
      <c r="B233" s="360"/>
      <c r="C233" s="616"/>
      <c r="D233" s="617"/>
      <c r="E233" s="618"/>
      <c r="G233" s="341"/>
      <c r="H233" s="360"/>
      <c r="I233" s="365"/>
      <c r="K233" s="341"/>
      <c r="L233" s="360"/>
      <c r="M233" s="365"/>
      <c r="AB233" s="362"/>
      <c r="AC233" s="362"/>
      <c r="AE233" s="362"/>
      <c r="AF233" s="362"/>
      <c r="AH233" s="362"/>
      <c r="AI233" s="362"/>
    </row>
    <row r="234" spans="1:35" ht="50.1" hidden="1" customHeight="1">
      <c r="A234" s="341"/>
      <c r="B234" s="360"/>
      <c r="C234" s="616"/>
      <c r="D234" s="617"/>
      <c r="E234" s="618"/>
      <c r="G234" s="341"/>
      <c r="H234" s="360"/>
      <c r="I234" s="365"/>
      <c r="K234" s="341"/>
      <c r="L234" s="360"/>
      <c r="M234" s="365"/>
      <c r="AB234" s="362"/>
      <c r="AC234" s="362"/>
      <c r="AE234" s="362"/>
      <c r="AF234" s="362"/>
      <c r="AH234" s="362"/>
      <c r="AI234" s="362"/>
    </row>
    <row r="235" spans="1:35" ht="50.1" hidden="1" customHeight="1">
      <c r="A235" s="341"/>
      <c r="B235" s="360"/>
      <c r="C235" s="616"/>
      <c r="D235" s="617"/>
      <c r="E235" s="618"/>
      <c r="G235" s="341"/>
      <c r="H235" s="360"/>
      <c r="I235" s="365"/>
      <c r="K235" s="341"/>
      <c r="L235" s="360"/>
      <c r="M235" s="365"/>
      <c r="AB235" s="362"/>
      <c r="AC235" s="362"/>
      <c r="AE235" s="362"/>
      <c r="AF235" s="362"/>
      <c r="AH235" s="362"/>
      <c r="AI235" s="362"/>
    </row>
    <row r="236" spans="1:35" ht="50.1" hidden="1" customHeight="1">
      <c r="A236" s="341"/>
      <c r="B236" s="360"/>
      <c r="C236" s="616"/>
      <c r="D236" s="617"/>
      <c r="E236" s="618"/>
      <c r="G236" s="341"/>
      <c r="H236" s="360"/>
      <c r="I236" s="365"/>
      <c r="K236" s="341"/>
      <c r="L236" s="360"/>
      <c r="M236" s="365"/>
      <c r="AB236" s="362"/>
      <c r="AC236" s="362"/>
      <c r="AE236" s="362"/>
      <c r="AF236" s="362"/>
      <c r="AH236" s="362"/>
      <c r="AI236" s="362"/>
    </row>
    <row r="237" spans="1:35" ht="50.1" hidden="1" customHeight="1">
      <c r="A237" s="341"/>
      <c r="B237" s="360"/>
      <c r="C237" s="616"/>
      <c r="D237" s="617"/>
      <c r="E237" s="618"/>
      <c r="G237" s="341"/>
      <c r="H237" s="360"/>
      <c r="I237" s="365"/>
      <c r="K237" s="341"/>
      <c r="L237" s="360"/>
      <c r="M237" s="365"/>
      <c r="AB237" s="362"/>
      <c r="AC237" s="362"/>
      <c r="AE237" s="362"/>
      <c r="AF237" s="362"/>
      <c r="AH237" s="362"/>
      <c r="AI237" s="362"/>
    </row>
    <row r="238" spans="1:35" ht="50.1" hidden="1" customHeight="1">
      <c r="A238" s="341"/>
      <c r="B238" s="360"/>
      <c r="C238" s="616"/>
      <c r="D238" s="617"/>
      <c r="E238" s="618"/>
      <c r="G238" s="341"/>
      <c r="H238" s="360"/>
      <c r="I238" s="365"/>
      <c r="K238" s="341"/>
      <c r="L238" s="360"/>
      <c r="M238" s="365"/>
      <c r="AB238" s="362"/>
      <c r="AC238" s="362"/>
      <c r="AE238" s="362"/>
      <c r="AF238" s="362"/>
      <c r="AH238" s="362"/>
      <c r="AI238" s="362"/>
    </row>
    <row r="239" spans="1:35" ht="50.1" hidden="1" customHeight="1">
      <c r="A239" s="341"/>
      <c r="B239" s="360"/>
      <c r="C239" s="616"/>
      <c r="D239" s="617"/>
      <c r="E239" s="618"/>
      <c r="G239" s="341"/>
      <c r="H239" s="360"/>
      <c r="I239" s="365"/>
      <c r="K239" s="341"/>
      <c r="L239" s="360"/>
      <c r="M239" s="365"/>
      <c r="AB239" s="362"/>
      <c r="AC239" s="362"/>
      <c r="AE239" s="362"/>
      <c r="AF239" s="362"/>
      <c r="AH239" s="362"/>
      <c r="AI239" s="362"/>
    </row>
    <row r="240" spans="1:35" ht="50.1" hidden="1" customHeight="1">
      <c r="A240" s="341"/>
      <c r="B240" s="360"/>
      <c r="C240" s="616"/>
      <c r="D240" s="617"/>
      <c r="E240" s="618"/>
      <c r="G240" s="341"/>
      <c r="H240" s="360"/>
      <c r="I240" s="365"/>
      <c r="K240" s="341"/>
      <c r="L240" s="360"/>
      <c r="M240" s="365"/>
      <c r="AB240" s="362"/>
      <c r="AC240" s="362"/>
      <c r="AE240" s="362"/>
      <c r="AF240" s="362"/>
      <c r="AH240" s="362"/>
      <c r="AI240" s="362"/>
    </row>
    <row r="241" spans="1:35" ht="50.1" hidden="1" customHeight="1">
      <c r="A241" s="341"/>
      <c r="B241" s="360"/>
      <c r="C241" s="616"/>
      <c r="D241" s="617"/>
      <c r="E241" s="618"/>
      <c r="G241" s="341"/>
      <c r="H241" s="360"/>
      <c r="I241" s="365"/>
      <c r="K241" s="341"/>
      <c r="L241" s="360"/>
      <c r="M241" s="365"/>
      <c r="AB241" s="362"/>
      <c r="AC241" s="362"/>
      <c r="AE241" s="362"/>
      <c r="AF241" s="362"/>
      <c r="AH241" s="362"/>
      <c r="AI241" s="362"/>
    </row>
    <row r="242" spans="1:35" ht="50.1" hidden="1" customHeight="1">
      <c r="A242" s="341"/>
      <c r="B242" s="360"/>
      <c r="C242" s="616"/>
      <c r="D242" s="617"/>
      <c r="E242" s="618"/>
      <c r="G242" s="341"/>
      <c r="H242" s="360"/>
      <c r="I242" s="365"/>
      <c r="K242" s="341"/>
      <c r="L242" s="360"/>
      <c r="M242" s="365"/>
      <c r="AB242" s="362"/>
      <c r="AC242" s="362"/>
      <c r="AE242" s="362"/>
      <c r="AF242" s="362"/>
      <c r="AH242" s="362"/>
      <c r="AI242" s="362"/>
    </row>
    <row r="243" spans="1:35" ht="50.1" hidden="1" customHeight="1">
      <c r="A243" s="341"/>
      <c r="B243" s="360"/>
      <c r="C243" s="616"/>
      <c r="D243" s="617"/>
      <c r="E243" s="618"/>
      <c r="G243" s="341"/>
      <c r="H243" s="360"/>
      <c r="I243" s="365"/>
      <c r="K243" s="341"/>
      <c r="L243" s="360"/>
      <c r="M243" s="365"/>
      <c r="AB243" s="362"/>
      <c r="AC243" s="362"/>
      <c r="AE243" s="362"/>
      <c r="AF243" s="362"/>
      <c r="AH243" s="362"/>
      <c r="AI243" s="362"/>
    </row>
    <row r="244" spans="1:35" ht="50.1" hidden="1" customHeight="1">
      <c r="A244" s="341"/>
      <c r="B244" s="360"/>
      <c r="C244" s="616"/>
      <c r="D244" s="617"/>
      <c r="E244" s="618"/>
      <c r="G244" s="341"/>
      <c r="H244" s="360"/>
      <c r="I244" s="365"/>
      <c r="K244" s="341"/>
      <c r="L244" s="360"/>
      <c r="M244" s="365"/>
      <c r="AB244" s="362"/>
      <c r="AC244" s="362"/>
      <c r="AE244" s="362"/>
      <c r="AF244" s="362"/>
      <c r="AH244" s="362"/>
      <c r="AI244" s="362"/>
    </row>
    <row r="245" spans="1:35" ht="50.1" hidden="1" customHeight="1">
      <c r="A245" s="341"/>
      <c r="B245" s="360"/>
      <c r="C245" s="616"/>
      <c r="D245" s="617"/>
      <c r="E245" s="618"/>
      <c r="G245" s="341"/>
      <c r="H245" s="360"/>
      <c r="I245" s="365"/>
      <c r="K245" s="341"/>
      <c r="L245" s="360"/>
      <c r="M245" s="365"/>
      <c r="AB245" s="362"/>
      <c r="AC245" s="362"/>
      <c r="AE245" s="362"/>
      <c r="AF245" s="362"/>
      <c r="AH245" s="362"/>
      <c r="AI245" s="362"/>
    </row>
    <row r="246" spans="1:35" ht="50.1" hidden="1" customHeight="1">
      <c r="A246" s="341"/>
      <c r="B246" s="360"/>
      <c r="C246" s="616"/>
      <c r="D246" s="617"/>
      <c r="E246" s="618"/>
      <c r="G246" s="341"/>
      <c r="H246" s="360"/>
      <c r="I246" s="365"/>
      <c r="K246" s="341"/>
      <c r="L246" s="360"/>
      <c r="M246" s="365"/>
      <c r="AB246" s="362"/>
      <c r="AC246" s="362"/>
      <c r="AE246" s="362"/>
      <c r="AF246" s="362"/>
      <c r="AH246" s="362"/>
      <c r="AI246" s="362"/>
    </row>
    <row r="247" spans="1:35" ht="50.1" hidden="1" customHeight="1">
      <c r="A247" s="341"/>
      <c r="B247" s="360"/>
      <c r="C247" s="616"/>
      <c r="D247" s="617"/>
      <c r="E247" s="618"/>
      <c r="G247" s="341"/>
      <c r="H247" s="360"/>
      <c r="I247" s="365"/>
      <c r="K247" s="341"/>
      <c r="L247" s="360"/>
      <c r="M247" s="365"/>
      <c r="AB247" s="362"/>
      <c r="AC247" s="362"/>
      <c r="AE247" s="362"/>
      <c r="AF247" s="362"/>
      <c r="AH247" s="362"/>
      <c r="AI247" s="362"/>
    </row>
    <row r="248" spans="1:35" ht="50.1" hidden="1" customHeight="1">
      <c r="A248" s="341"/>
      <c r="B248" s="360"/>
      <c r="C248" s="616"/>
      <c r="D248" s="617"/>
      <c r="E248" s="618"/>
      <c r="G248" s="341"/>
      <c r="H248" s="360"/>
      <c r="I248" s="365"/>
      <c r="K248" s="341"/>
      <c r="L248" s="360"/>
      <c r="M248" s="365"/>
      <c r="AB248" s="362"/>
      <c r="AC248" s="362"/>
      <c r="AE248" s="362"/>
      <c r="AF248" s="362"/>
      <c r="AH248" s="362"/>
      <c r="AI248" s="362"/>
    </row>
    <row r="249" spans="1:35" ht="50.1" hidden="1" customHeight="1">
      <c r="A249" s="341"/>
      <c r="B249" s="360"/>
      <c r="C249" s="616"/>
      <c r="D249" s="617"/>
      <c r="E249" s="618"/>
      <c r="G249" s="341"/>
      <c r="H249" s="360"/>
      <c r="I249" s="365"/>
      <c r="K249" s="341"/>
      <c r="L249" s="360"/>
      <c r="M249" s="365"/>
      <c r="AB249" s="362"/>
      <c r="AC249" s="362"/>
      <c r="AE249" s="362"/>
      <c r="AF249" s="362"/>
      <c r="AH249" s="362"/>
      <c r="AI249" s="362"/>
    </row>
    <row r="250" spans="1:35" ht="50.1" hidden="1" customHeight="1">
      <c r="A250" s="341"/>
      <c r="B250" s="360"/>
      <c r="C250" s="616"/>
      <c r="D250" s="617"/>
      <c r="E250" s="618"/>
      <c r="G250" s="341"/>
      <c r="H250" s="360"/>
      <c r="I250" s="365"/>
      <c r="K250" s="341"/>
      <c r="L250" s="360"/>
      <c r="M250" s="365"/>
      <c r="AB250" s="362"/>
      <c r="AC250" s="362"/>
      <c r="AE250" s="362"/>
      <c r="AF250" s="362"/>
      <c r="AH250" s="362"/>
      <c r="AI250" s="362"/>
    </row>
    <row r="251" spans="1:35" ht="50.1" hidden="1" customHeight="1">
      <c r="A251" s="341"/>
      <c r="B251" s="360"/>
      <c r="C251" s="616"/>
      <c r="D251" s="617"/>
      <c r="E251" s="618"/>
      <c r="G251" s="341"/>
      <c r="H251" s="360"/>
      <c r="I251" s="365"/>
      <c r="K251" s="341"/>
      <c r="L251" s="360"/>
      <c r="M251" s="365"/>
      <c r="AB251" s="362"/>
      <c r="AC251" s="362"/>
      <c r="AE251" s="362"/>
      <c r="AF251" s="362"/>
      <c r="AH251" s="362"/>
      <c r="AI251" s="362"/>
    </row>
    <row r="252" spans="1:35" ht="50.1" hidden="1" customHeight="1">
      <c r="A252" s="341"/>
      <c r="B252" s="360"/>
      <c r="C252" s="616"/>
      <c r="D252" s="617"/>
      <c r="E252" s="618"/>
      <c r="G252" s="341"/>
      <c r="H252" s="360"/>
      <c r="I252" s="365"/>
      <c r="K252" s="341"/>
      <c r="L252" s="360"/>
      <c r="M252" s="365"/>
      <c r="AB252" s="362"/>
      <c r="AC252" s="362"/>
      <c r="AE252" s="362"/>
      <c r="AF252" s="362"/>
      <c r="AH252" s="362"/>
      <c r="AI252" s="362"/>
    </row>
    <row r="253" spans="1:35" ht="50.1" hidden="1" customHeight="1">
      <c r="A253" s="341"/>
      <c r="B253" s="360"/>
      <c r="C253" s="616"/>
      <c r="D253" s="617"/>
      <c r="E253" s="618"/>
      <c r="G253" s="341"/>
      <c r="H253" s="360"/>
      <c r="I253" s="365"/>
      <c r="K253" s="341"/>
      <c r="L253" s="360"/>
      <c r="M253" s="365"/>
      <c r="AB253" s="362"/>
      <c r="AC253" s="362"/>
      <c r="AE253" s="362"/>
      <c r="AF253" s="362"/>
      <c r="AH253" s="362"/>
      <c r="AI253" s="362"/>
    </row>
    <row r="254" spans="1:35" ht="50.1" hidden="1" customHeight="1">
      <c r="A254" s="341"/>
      <c r="B254" s="360"/>
      <c r="C254" s="616"/>
      <c r="D254" s="617"/>
      <c r="E254" s="618"/>
      <c r="G254" s="341"/>
      <c r="H254" s="360"/>
      <c r="I254" s="365"/>
      <c r="K254" s="341"/>
      <c r="L254" s="360"/>
      <c r="M254" s="365"/>
      <c r="AB254" s="362"/>
      <c r="AC254" s="362"/>
      <c r="AE254" s="362"/>
      <c r="AF254" s="362"/>
      <c r="AH254" s="362"/>
      <c r="AI254" s="362"/>
    </row>
    <row r="255" spans="1:35" ht="50.1" hidden="1" customHeight="1">
      <c r="A255" s="341"/>
      <c r="B255" s="360"/>
      <c r="C255" s="616"/>
      <c r="D255" s="617"/>
      <c r="E255" s="618"/>
      <c r="G255" s="341"/>
      <c r="H255" s="360"/>
      <c r="I255" s="365"/>
      <c r="K255" s="341"/>
      <c r="L255" s="360"/>
      <c r="M255" s="365"/>
      <c r="AB255" s="362"/>
      <c r="AC255" s="362"/>
      <c r="AE255" s="362"/>
      <c r="AF255" s="362"/>
      <c r="AH255" s="362"/>
      <c r="AI255" s="362"/>
    </row>
    <row r="256" spans="1:35" ht="50.1" hidden="1" customHeight="1">
      <c r="A256" s="341"/>
      <c r="B256" s="360"/>
      <c r="C256" s="616"/>
      <c r="D256" s="617"/>
      <c r="E256" s="618"/>
      <c r="G256" s="341"/>
      <c r="H256" s="360"/>
      <c r="I256" s="365"/>
      <c r="K256" s="341"/>
      <c r="L256" s="360"/>
      <c r="M256" s="365"/>
      <c r="AB256" s="362"/>
      <c r="AC256" s="362"/>
      <c r="AE256" s="362"/>
      <c r="AF256" s="362"/>
      <c r="AH256" s="362"/>
      <c r="AI256" s="362"/>
    </row>
    <row r="257" spans="1:35" ht="50.1" hidden="1" customHeight="1">
      <c r="A257" s="341"/>
      <c r="B257" s="360"/>
      <c r="C257" s="616"/>
      <c r="D257" s="617"/>
      <c r="E257" s="618"/>
      <c r="G257" s="341"/>
      <c r="H257" s="360"/>
      <c r="I257" s="365"/>
      <c r="K257" s="341"/>
      <c r="L257" s="360"/>
      <c r="M257" s="365"/>
      <c r="AB257" s="362"/>
      <c r="AC257" s="362"/>
      <c r="AE257" s="362"/>
      <c r="AF257" s="362"/>
      <c r="AH257" s="362"/>
      <c r="AI257" s="362"/>
    </row>
    <row r="258" spans="1:35" ht="50.1" hidden="1" customHeight="1">
      <c r="A258" s="341"/>
      <c r="B258" s="360"/>
      <c r="C258" s="616"/>
      <c r="D258" s="617"/>
      <c r="E258" s="618"/>
      <c r="G258" s="341"/>
      <c r="H258" s="360"/>
      <c r="I258" s="365"/>
      <c r="K258" s="341"/>
      <c r="L258" s="360"/>
      <c r="M258" s="365"/>
      <c r="AB258" s="362"/>
      <c r="AC258" s="362"/>
      <c r="AE258" s="362"/>
      <c r="AF258" s="362"/>
      <c r="AH258" s="362"/>
      <c r="AI258" s="362"/>
    </row>
    <row r="259" spans="1:35" ht="50.1" hidden="1" customHeight="1">
      <c r="A259" s="341"/>
      <c r="B259" s="360"/>
      <c r="C259" s="616"/>
      <c r="D259" s="617"/>
      <c r="E259" s="618"/>
      <c r="G259" s="341"/>
      <c r="H259" s="360"/>
      <c r="I259" s="365"/>
      <c r="K259" s="341"/>
      <c r="L259" s="360"/>
      <c r="M259" s="365"/>
      <c r="AB259" s="362"/>
      <c r="AC259" s="362"/>
      <c r="AE259" s="362"/>
      <c r="AF259" s="362"/>
      <c r="AH259" s="362"/>
      <c r="AI259" s="362"/>
    </row>
    <row r="260" spans="1:35" ht="50.1" hidden="1" customHeight="1">
      <c r="A260" s="341"/>
      <c r="B260" s="360"/>
      <c r="C260" s="1592"/>
      <c r="D260" s="1593"/>
      <c r="E260" s="1594"/>
      <c r="G260" s="341">
        <f t="shared" ref="G260:G296" si="117">A260</f>
        <v>0</v>
      </c>
      <c r="H260" s="360">
        <f t="shared" ref="H260:H296" si="118">B260</f>
        <v>0</v>
      </c>
      <c r="I260" s="365">
        <f t="shared" ref="I260:I296" si="119">C260</f>
        <v>0</v>
      </c>
      <c r="K260" s="341">
        <f t="shared" ref="K260:K296" si="120">G260</f>
        <v>0</v>
      </c>
      <c r="L260" s="360">
        <f t="shared" ref="L260:L296" si="121">H260</f>
        <v>0</v>
      </c>
      <c r="M260" s="365"/>
      <c r="AB260" s="362">
        <f>'PLANILHA GERAL'!$J$111</f>
        <v>1978.71</v>
      </c>
      <c r="AC260" s="362">
        <f t="shared" si="114"/>
        <v>0</v>
      </c>
      <c r="AE260" s="362">
        <f>'PLANILHA GERAL'!$J$113</f>
        <v>225.96</v>
      </c>
      <c r="AF260" s="362">
        <f t="shared" ref="AF260:AF296" si="122">I260*AE260</f>
        <v>0</v>
      </c>
      <c r="AH260" s="362">
        <f>'PLANILHA GERAL'!$J$113</f>
        <v>225.96</v>
      </c>
      <c r="AI260" s="362">
        <f t="shared" ref="AI260:AI296" si="123">M260*AH260</f>
        <v>0</v>
      </c>
    </row>
    <row r="261" spans="1:35" ht="50.1" hidden="1" customHeight="1">
      <c r="A261" s="341">
        <f>DADOS!A14</f>
        <v>0</v>
      </c>
      <c r="B261" s="360">
        <f>DADOS!B14</f>
        <v>0</v>
      </c>
      <c r="C261" s="1592">
        <f t="shared" ref="C261:C296" si="124">C19</f>
        <v>0</v>
      </c>
      <c r="D261" s="1593"/>
      <c r="E261" s="1594"/>
      <c r="G261" s="341">
        <f t="shared" si="117"/>
        <v>0</v>
      </c>
      <c r="H261" s="360">
        <f t="shared" si="118"/>
        <v>0</v>
      </c>
      <c r="I261" s="365">
        <f t="shared" si="119"/>
        <v>0</v>
      </c>
      <c r="K261" s="341">
        <f t="shared" si="120"/>
        <v>0</v>
      </c>
      <c r="L261" s="360">
        <f t="shared" si="121"/>
        <v>0</v>
      </c>
      <c r="M261" s="365"/>
      <c r="AB261" s="362">
        <f>'PLANILHA GERAL'!$J$111</f>
        <v>1978.71</v>
      </c>
      <c r="AC261" s="362">
        <f t="shared" si="114"/>
        <v>0</v>
      </c>
      <c r="AE261" s="362">
        <f>'PLANILHA GERAL'!$J$113</f>
        <v>225.96</v>
      </c>
      <c r="AF261" s="362">
        <f t="shared" si="122"/>
        <v>0</v>
      </c>
      <c r="AH261" s="362">
        <f>'PLANILHA GERAL'!$J$113</f>
        <v>225.96</v>
      </c>
      <c r="AI261" s="362">
        <f t="shared" si="123"/>
        <v>0</v>
      </c>
    </row>
    <row r="262" spans="1:35" ht="50.1" hidden="1" customHeight="1">
      <c r="A262" s="341">
        <f>DADOS!A15</f>
        <v>0</v>
      </c>
      <c r="B262" s="360">
        <f>DADOS!B15</f>
        <v>0</v>
      </c>
      <c r="C262" s="1592">
        <f t="shared" si="124"/>
        <v>0</v>
      </c>
      <c r="D262" s="1593"/>
      <c r="E262" s="1594"/>
      <c r="G262" s="341">
        <f t="shared" si="117"/>
        <v>0</v>
      </c>
      <c r="H262" s="360">
        <f t="shared" si="118"/>
        <v>0</v>
      </c>
      <c r="I262" s="365">
        <f t="shared" si="119"/>
        <v>0</v>
      </c>
      <c r="K262" s="341">
        <f t="shared" si="120"/>
        <v>0</v>
      </c>
      <c r="L262" s="360">
        <f t="shared" si="121"/>
        <v>0</v>
      </c>
      <c r="M262" s="365"/>
      <c r="AB262" s="362">
        <f>'PLANILHA GERAL'!$J$111</f>
        <v>1978.71</v>
      </c>
      <c r="AC262" s="362">
        <f t="shared" si="114"/>
        <v>0</v>
      </c>
      <c r="AE262" s="362">
        <f>'PLANILHA GERAL'!$J$113</f>
        <v>225.96</v>
      </c>
      <c r="AF262" s="362">
        <f t="shared" si="122"/>
        <v>0</v>
      </c>
      <c r="AH262" s="362">
        <f>'PLANILHA GERAL'!$J$113</f>
        <v>225.96</v>
      </c>
      <c r="AI262" s="362">
        <f t="shared" si="123"/>
        <v>0</v>
      </c>
    </row>
    <row r="263" spans="1:35" ht="50.1" hidden="1" customHeight="1">
      <c r="A263" s="341">
        <f>DADOS!A16</f>
        <v>0</v>
      </c>
      <c r="B263" s="360">
        <f>DADOS!B16</f>
        <v>0</v>
      </c>
      <c r="C263" s="1592">
        <f t="shared" si="124"/>
        <v>0</v>
      </c>
      <c r="D263" s="1593"/>
      <c r="E263" s="1594"/>
      <c r="G263" s="341">
        <f t="shared" si="117"/>
        <v>0</v>
      </c>
      <c r="H263" s="360">
        <f t="shared" si="118"/>
        <v>0</v>
      </c>
      <c r="I263" s="365">
        <f t="shared" si="119"/>
        <v>0</v>
      </c>
      <c r="K263" s="341">
        <f t="shared" si="120"/>
        <v>0</v>
      </c>
      <c r="L263" s="360">
        <f t="shared" si="121"/>
        <v>0</v>
      </c>
      <c r="M263" s="365"/>
      <c r="AB263" s="362">
        <f>'PLANILHA GERAL'!$J$111</f>
        <v>1978.71</v>
      </c>
      <c r="AC263" s="362">
        <f t="shared" si="114"/>
        <v>0</v>
      </c>
      <c r="AE263" s="362">
        <f>'PLANILHA GERAL'!$J$113</f>
        <v>225.96</v>
      </c>
      <c r="AF263" s="362">
        <f t="shared" si="122"/>
        <v>0</v>
      </c>
      <c r="AH263" s="362">
        <f>'PLANILHA GERAL'!$J$113</f>
        <v>225.96</v>
      </c>
      <c r="AI263" s="362">
        <f t="shared" si="123"/>
        <v>0</v>
      </c>
    </row>
    <row r="264" spans="1:35" ht="50.1" hidden="1" customHeight="1">
      <c r="A264" s="341">
        <f>DADOS!A17</f>
        <v>0</v>
      </c>
      <c r="B264" s="360">
        <f>DADOS!B17</f>
        <v>0</v>
      </c>
      <c r="C264" s="1592">
        <f t="shared" si="124"/>
        <v>0</v>
      </c>
      <c r="D264" s="1593"/>
      <c r="E264" s="1594"/>
      <c r="G264" s="341">
        <f t="shared" si="117"/>
        <v>0</v>
      </c>
      <c r="H264" s="360">
        <f t="shared" si="118"/>
        <v>0</v>
      </c>
      <c r="I264" s="365">
        <f t="shared" si="119"/>
        <v>0</v>
      </c>
      <c r="K264" s="341">
        <f t="shared" si="120"/>
        <v>0</v>
      </c>
      <c r="L264" s="360">
        <f t="shared" si="121"/>
        <v>0</v>
      </c>
      <c r="M264" s="365"/>
      <c r="AB264" s="362">
        <f>'PLANILHA GERAL'!$J$111</f>
        <v>1978.71</v>
      </c>
      <c r="AC264" s="362">
        <f t="shared" si="114"/>
        <v>0</v>
      </c>
      <c r="AE264" s="362">
        <f>'PLANILHA GERAL'!$J$113</f>
        <v>225.96</v>
      </c>
      <c r="AF264" s="362">
        <f t="shared" si="122"/>
        <v>0</v>
      </c>
      <c r="AH264" s="362">
        <f>'PLANILHA GERAL'!$J$113</f>
        <v>225.96</v>
      </c>
      <c r="AI264" s="362">
        <f t="shared" si="123"/>
        <v>0</v>
      </c>
    </row>
    <row r="265" spans="1:35" ht="50.1" hidden="1" customHeight="1">
      <c r="A265" s="341">
        <f>DADOS!A18</f>
        <v>0</v>
      </c>
      <c r="B265" s="360">
        <f>DADOS!B18</f>
        <v>0</v>
      </c>
      <c r="C265" s="1592">
        <f t="shared" si="124"/>
        <v>0</v>
      </c>
      <c r="D265" s="1593"/>
      <c r="E265" s="1594"/>
      <c r="G265" s="341">
        <f t="shared" si="117"/>
        <v>0</v>
      </c>
      <c r="H265" s="360">
        <f t="shared" si="118"/>
        <v>0</v>
      </c>
      <c r="I265" s="365">
        <f t="shared" si="119"/>
        <v>0</v>
      </c>
      <c r="K265" s="341">
        <f t="shared" si="120"/>
        <v>0</v>
      </c>
      <c r="L265" s="360">
        <f t="shared" si="121"/>
        <v>0</v>
      </c>
      <c r="M265" s="365"/>
      <c r="AB265" s="362">
        <f>'PLANILHA GERAL'!$J$111</f>
        <v>1978.71</v>
      </c>
      <c r="AC265" s="362">
        <f t="shared" si="114"/>
        <v>0</v>
      </c>
      <c r="AE265" s="362">
        <f>'PLANILHA GERAL'!$J$113</f>
        <v>225.96</v>
      </c>
      <c r="AF265" s="362">
        <f t="shared" si="122"/>
        <v>0</v>
      </c>
      <c r="AH265" s="362">
        <f>'PLANILHA GERAL'!$J$113</f>
        <v>225.96</v>
      </c>
      <c r="AI265" s="362">
        <f t="shared" si="123"/>
        <v>0</v>
      </c>
    </row>
    <row r="266" spans="1:35" ht="50.1" hidden="1" customHeight="1">
      <c r="A266" s="341">
        <f>DADOS!A19</f>
        <v>0</v>
      </c>
      <c r="B266" s="360">
        <f>DADOS!B19</f>
        <v>0</v>
      </c>
      <c r="C266" s="1592">
        <f t="shared" si="124"/>
        <v>0</v>
      </c>
      <c r="D266" s="1593"/>
      <c r="E266" s="1594"/>
      <c r="G266" s="341">
        <f t="shared" si="117"/>
        <v>0</v>
      </c>
      <c r="H266" s="360">
        <f t="shared" si="118"/>
        <v>0</v>
      </c>
      <c r="I266" s="365">
        <f t="shared" si="119"/>
        <v>0</v>
      </c>
      <c r="K266" s="341">
        <f t="shared" si="120"/>
        <v>0</v>
      </c>
      <c r="L266" s="360">
        <f t="shared" si="121"/>
        <v>0</v>
      </c>
      <c r="M266" s="365"/>
      <c r="AB266" s="362">
        <f>'PLANILHA GERAL'!$J$111</f>
        <v>1978.71</v>
      </c>
      <c r="AC266" s="362">
        <f t="shared" si="114"/>
        <v>0</v>
      </c>
      <c r="AE266" s="362">
        <f>'PLANILHA GERAL'!$J$113</f>
        <v>225.96</v>
      </c>
      <c r="AF266" s="362">
        <f t="shared" si="122"/>
        <v>0</v>
      </c>
      <c r="AH266" s="362">
        <f>'PLANILHA GERAL'!$J$113</f>
        <v>225.96</v>
      </c>
      <c r="AI266" s="362">
        <f t="shared" si="123"/>
        <v>0</v>
      </c>
    </row>
    <row r="267" spans="1:35" ht="50.1" hidden="1" customHeight="1">
      <c r="A267" s="341">
        <f>DADOS!A20</f>
        <v>0</v>
      </c>
      <c r="B267" s="360">
        <f>DADOS!B20</f>
        <v>0</v>
      </c>
      <c r="C267" s="1592">
        <f t="shared" si="124"/>
        <v>0</v>
      </c>
      <c r="D267" s="1593"/>
      <c r="E267" s="1594"/>
      <c r="G267" s="341">
        <f t="shared" si="117"/>
        <v>0</v>
      </c>
      <c r="H267" s="360">
        <f t="shared" si="118"/>
        <v>0</v>
      </c>
      <c r="I267" s="365">
        <f t="shared" si="119"/>
        <v>0</v>
      </c>
      <c r="K267" s="341">
        <f t="shared" si="120"/>
        <v>0</v>
      </c>
      <c r="L267" s="360">
        <f t="shared" si="121"/>
        <v>0</v>
      </c>
      <c r="M267" s="365"/>
      <c r="AB267" s="362">
        <f>'PLANILHA GERAL'!$J$111</f>
        <v>1978.71</v>
      </c>
      <c r="AC267" s="362">
        <f t="shared" si="114"/>
        <v>0</v>
      </c>
      <c r="AE267" s="362">
        <f>'PLANILHA GERAL'!$J$113</f>
        <v>225.96</v>
      </c>
      <c r="AF267" s="362">
        <f t="shared" si="122"/>
        <v>0</v>
      </c>
      <c r="AH267" s="362">
        <f>'PLANILHA GERAL'!$J$113</f>
        <v>225.96</v>
      </c>
      <c r="AI267" s="362">
        <f t="shared" si="123"/>
        <v>0</v>
      </c>
    </row>
    <row r="268" spans="1:35" ht="50.1" hidden="1" customHeight="1">
      <c r="A268" s="341">
        <f>DADOS!A21</f>
        <v>0</v>
      </c>
      <c r="B268" s="360">
        <f>DADOS!B21</f>
        <v>0</v>
      </c>
      <c r="C268" s="1592">
        <f t="shared" si="124"/>
        <v>0</v>
      </c>
      <c r="D268" s="1593"/>
      <c r="E268" s="1594"/>
      <c r="G268" s="341">
        <f t="shared" si="117"/>
        <v>0</v>
      </c>
      <c r="H268" s="360">
        <f t="shared" si="118"/>
        <v>0</v>
      </c>
      <c r="I268" s="365">
        <f t="shared" si="119"/>
        <v>0</v>
      </c>
      <c r="K268" s="341">
        <f t="shared" si="120"/>
        <v>0</v>
      </c>
      <c r="L268" s="360">
        <f t="shared" si="121"/>
        <v>0</v>
      </c>
      <c r="M268" s="365"/>
      <c r="AB268" s="362">
        <f>'PLANILHA GERAL'!$J$111</f>
        <v>1978.71</v>
      </c>
      <c r="AC268" s="362">
        <f t="shared" si="114"/>
        <v>0</v>
      </c>
      <c r="AE268" s="362">
        <f>'PLANILHA GERAL'!$J$113</f>
        <v>225.96</v>
      </c>
      <c r="AF268" s="362">
        <f t="shared" si="122"/>
        <v>0</v>
      </c>
      <c r="AH268" s="362">
        <f>'PLANILHA GERAL'!$J$113</f>
        <v>225.96</v>
      </c>
      <c r="AI268" s="362">
        <f t="shared" si="123"/>
        <v>0</v>
      </c>
    </row>
    <row r="269" spans="1:35" ht="50.1" hidden="1" customHeight="1">
      <c r="A269" s="341">
        <f>DADOS!A22</f>
        <v>0</v>
      </c>
      <c r="B269" s="360">
        <f>DADOS!B22</f>
        <v>0</v>
      </c>
      <c r="C269" s="1592">
        <f t="shared" si="124"/>
        <v>0</v>
      </c>
      <c r="D269" s="1593"/>
      <c r="E269" s="1594"/>
      <c r="G269" s="341">
        <f t="shared" si="117"/>
        <v>0</v>
      </c>
      <c r="H269" s="360">
        <f t="shared" si="118"/>
        <v>0</v>
      </c>
      <c r="I269" s="365">
        <f t="shared" si="119"/>
        <v>0</v>
      </c>
      <c r="K269" s="341">
        <f t="shared" si="120"/>
        <v>0</v>
      </c>
      <c r="L269" s="360">
        <f t="shared" si="121"/>
        <v>0</v>
      </c>
      <c r="M269" s="365"/>
      <c r="AB269" s="362">
        <f>'PLANILHA GERAL'!$J$111</f>
        <v>1978.71</v>
      </c>
      <c r="AC269" s="362">
        <f t="shared" si="114"/>
        <v>0</v>
      </c>
      <c r="AE269" s="362">
        <f>'PLANILHA GERAL'!$J$113</f>
        <v>225.96</v>
      </c>
      <c r="AF269" s="362">
        <f t="shared" si="122"/>
        <v>0</v>
      </c>
      <c r="AH269" s="362">
        <f>'PLANILHA GERAL'!$J$113</f>
        <v>225.96</v>
      </c>
      <c r="AI269" s="362">
        <f t="shared" si="123"/>
        <v>0</v>
      </c>
    </row>
    <row r="270" spans="1:35" ht="50.1" hidden="1" customHeight="1">
      <c r="A270" s="341">
        <f>DADOS!A23</f>
        <v>0</v>
      </c>
      <c r="B270" s="360">
        <f>DADOS!B23</f>
        <v>0</v>
      </c>
      <c r="C270" s="1592">
        <f t="shared" si="124"/>
        <v>0</v>
      </c>
      <c r="D270" s="1593"/>
      <c r="E270" s="1594"/>
      <c r="G270" s="341">
        <f t="shared" si="117"/>
        <v>0</v>
      </c>
      <c r="H270" s="360">
        <f t="shared" si="118"/>
        <v>0</v>
      </c>
      <c r="I270" s="365">
        <f t="shared" si="119"/>
        <v>0</v>
      </c>
      <c r="K270" s="341">
        <f t="shared" si="120"/>
        <v>0</v>
      </c>
      <c r="L270" s="360">
        <f t="shared" si="121"/>
        <v>0</v>
      </c>
      <c r="M270" s="365"/>
      <c r="AB270" s="362">
        <f>'PLANILHA GERAL'!$J$111</f>
        <v>1978.71</v>
      </c>
      <c r="AC270" s="362">
        <f t="shared" si="114"/>
        <v>0</v>
      </c>
      <c r="AE270" s="362">
        <f>'PLANILHA GERAL'!$J$113</f>
        <v>225.96</v>
      </c>
      <c r="AF270" s="362">
        <f t="shared" si="122"/>
        <v>0</v>
      </c>
      <c r="AH270" s="362">
        <f>'PLANILHA GERAL'!$J$113</f>
        <v>225.96</v>
      </c>
      <c r="AI270" s="362">
        <f t="shared" si="123"/>
        <v>0</v>
      </c>
    </row>
    <row r="271" spans="1:35" ht="50.1" hidden="1" customHeight="1">
      <c r="A271" s="341">
        <f>DADOS!A24</f>
        <v>0</v>
      </c>
      <c r="B271" s="360">
        <f>DADOS!B24</f>
        <v>0</v>
      </c>
      <c r="C271" s="1592">
        <f t="shared" si="124"/>
        <v>0</v>
      </c>
      <c r="D271" s="1593"/>
      <c r="E271" s="1594"/>
      <c r="G271" s="341">
        <f t="shared" si="117"/>
        <v>0</v>
      </c>
      <c r="H271" s="360">
        <f t="shared" si="118"/>
        <v>0</v>
      </c>
      <c r="I271" s="365">
        <f t="shared" si="119"/>
        <v>0</v>
      </c>
      <c r="K271" s="341">
        <f t="shared" si="120"/>
        <v>0</v>
      </c>
      <c r="L271" s="360">
        <f t="shared" si="121"/>
        <v>0</v>
      </c>
      <c r="M271" s="365"/>
      <c r="AB271" s="362">
        <f>'PLANILHA GERAL'!$J$111</f>
        <v>1978.71</v>
      </c>
      <c r="AC271" s="362">
        <f t="shared" si="114"/>
        <v>0</v>
      </c>
      <c r="AE271" s="362">
        <f>'PLANILHA GERAL'!$J$113</f>
        <v>225.96</v>
      </c>
      <c r="AF271" s="362">
        <f t="shared" si="122"/>
        <v>0</v>
      </c>
      <c r="AH271" s="362">
        <f>'PLANILHA GERAL'!$J$113</f>
        <v>225.96</v>
      </c>
      <c r="AI271" s="362">
        <f t="shared" si="123"/>
        <v>0</v>
      </c>
    </row>
    <row r="272" spans="1:35" ht="50.1" hidden="1" customHeight="1">
      <c r="A272" s="341">
        <f>DADOS!A25</f>
        <v>0</v>
      </c>
      <c r="B272" s="360">
        <f>DADOS!B25</f>
        <v>0</v>
      </c>
      <c r="C272" s="1592">
        <f t="shared" si="124"/>
        <v>0</v>
      </c>
      <c r="D272" s="1593"/>
      <c r="E272" s="1594"/>
      <c r="G272" s="341">
        <f t="shared" si="117"/>
        <v>0</v>
      </c>
      <c r="H272" s="360">
        <f t="shared" si="118"/>
        <v>0</v>
      </c>
      <c r="I272" s="365">
        <f t="shared" si="119"/>
        <v>0</v>
      </c>
      <c r="K272" s="341">
        <f t="shared" si="120"/>
        <v>0</v>
      </c>
      <c r="L272" s="360">
        <f t="shared" si="121"/>
        <v>0</v>
      </c>
      <c r="M272" s="365"/>
      <c r="AB272" s="362">
        <f>'PLANILHA GERAL'!$J$111</f>
        <v>1978.71</v>
      </c>
      <c r="AC272" s="362">
        <f t="shared" si="114"/>
        <v>0</v>
      </c>
      <c r="AE272" s="362">
        <f>'PLANILHA GERAL'!$J$113</f>
        <v>225.96</v>
      </c>
      <c r="AF272" s="362">
        <f t="shared" si="122"/>
        <v>0</v>
      </c>
      <c r="AH272" s="362">
        <f>'PLANILHA GERAL'!$J$113</f>
        <v>225.96</v>
      </c>
      <c r="AI272" s="362">
        <f t="shared" si="123"/>
        <v>0</v>
      </c>
    </row>
    <row r="273" spans="1:35" ht="50.1" hidden="1" customHeight="1">
      <c r="A273" s="341">
        <f>DADOS!A26</f>
        <v>0</v>
      </c>
      <c r="B273" s="360">
        <f>DADOS!B26</f>
        <v>0</v>
      </c>
      <c r="C273" s="1592">
        <f t="shared" si="124"/>
        <v>0</v>
      </c>
      <c r="D273" s="1593"/>
      <c r="E273" s="1594"/>
      <c r="G273" s="341">
        <f t="shared" si="117"/>
        <v>0</v>
      </c>
      <c r="H273" s="360">
        <f t="shared" si="118"/>
        <v>0</v>
      </c>
      <c r="I273" s="365">
        <f t="shared" si="119"/>
        <v>0</v>
      </c>
      <c r="K273" s="341">
        <f t="shared" si="120"/>
        <v>0</v>
      </c>
      <c r="L273" s="360">
        <f t="shared" si="121"/>
        <v>0</v>
      </c>
      <c r="M273" s="365"/>
      <c r="AB273" s="362">
        <f>'PLANILHA GERAL'!$J$111</f>
        <v>1978.71</v>
      </c>
      <c r="AC273" s="362">
        <f t="shared" si="114"/>
        <v>0</v>
      </c>
      <c r="AE273" s="362">
        <f>'PLANILHA GERAL'!$J$113</f>
        <v>225.96</v>
      </c>
      <c r="AF273" s="362">
        <f t="shared" si="122"/>
        <v>0</v>
      </c>
      <c r="AH273" s="362">
        <f>'PLANILHA GERAL'!$J$113</f>
        <v>225.96</v>
      </c>
      <c r="AI273" s="362">
        <f t="shared" si="123"/>
        <v>0</v>
      </c>
    </row>
    <row r="274" spans="1:35" ht="50.1" hidden="1" customHeight="1">
      <c r="A274" s="341">
        <f>DADOS!A27</f>
        <v>0</v>
      </c>
      <c r="B274" s="360">
        <f>DADOS!B27</f>
        <v>0</v>
      </c>
      <c r="C274" s="1592">
        <f t="shared" si="124"/>
        <v>0</v>
      </c>
      <c r="D274" s="1593"/>
      <c r="E274" s="1594"/>
      <c r="G274" s="341">
        <f t="shared" si="117"/>
        <v>0</v>
      </c>
      <c r="H274" s="360">
        <f t="shared" si="118"/>
        <v>0</v>
      </c>
      <c r="I274" s="365">
        <f t="shared" si="119"/>
        <v>0</v>
      </c>
      <c r="K274" s="341">
        <f t="shared" si="120"/>
        <v>0</v>
      </c>
      <c r="L274" s="360">
        <f t="shared" si="121"/>
        <v>0</v>
      </c>
      <c r="M274" s="365"/>
      <c r="AB274" s="362">
        <f>'PLANILHA GERAL'!$J$111</f>
        <v>1978.71</v>
      </c>
      <c r="AC274" s="362">
        <f t="shared" si="114"/>
        <v>0</v>
      </c>
      <c r="AE274" s="362">
        <f>'PLANILHA GERAL'!$J$113</f>
        <v>225.96</v>
      </c>
      <c r="AF274" s="362">
        <f t="shared" si="122"/>
        <v>0</v>
      </c>
      <c r="AH274" s="362">
        <f>'PLANILHA GERAL'!$J$113</f>
        <v>225.96</v>
      </c>
      <c r="AI274" s="362">
        <f t="shared" si="123"/>
        <v>0</v>
      </c>
    </row>
    <row r="275" spans="1:35" ht="50.1" hidden="1" customHeight="1">
      <c r="A275" s="341">
        <f>DADOS!A28</f>
        <v>0</v>
      </c>
      <c r="B275" s="360">
        <f>DADOS!B28</f>
        <v>0</v>
      </c>
      <c r="C275" s="1592">
        <f t="shared" si="124"/>
        <v>0</v>
      </c>
      <c r="D275" s="1593"/>
      <c r="E275" s="1594"/>
      <c r="G275" s="341">
        <f t="shared" si="117"/>
        <v>0</v>
      </c>
      <c r="H275" s="360">
        <f t="shared" si="118"/>
        <v>0</v>
      </c>
      <c r="I275" s="365">
        <f t="shared" si="119"/>
        <v>0</v>
      </c>
      <c r="K275" s="341">
        <f t="shared" si="120"/>
        <v>0</v>
      </c>
      <c r="L275" s="360">
        <f t="shared" si="121"/>
        <v>0</v>
      </c>
      <c r="M275" s="365"/>
      <c r="AB275" s="362">
        <f>'PLANILHA GERAL'!$J$111</f>
        <v>1978.71</v>
      </c>
      <c r="AC275" s="362">
        <f t="shared" si="114"/>
        <v>0</v>
      </c>
      <c r="AE275" s="362">
        <f>'PLANILHA GERAL'!$J$113</f>
        <v>225.96</v>
      </c>
      <c r="AF275" s="362">
        <f t="shared" si="122"/>
        <v>0</v>
      </c>
      <c r="AH275" s="362">
        <f>'PLANILHA GERAL'!$J$113</f>
        <v>225.96</v>
      </c>
      <c r="AI275" s="362">
        <f t="shared" si="123"/>
        <v>0</v>
      </c>
    </row>
    <row r="276" spans="1:35" ht="50.1" hidden="1" customHeight="1">
      <c r="A276" s="341">
        <f>DADOS!A29</f>
        <v>0</v>
      </c>
      <c r="B276" s="360">
        <f>DADOS!B29</f>
        <v>0</v>
      </c>
      <c r="C276" s="1592">
        <f t="shared" si="124"/>
        <v>0</v>
      </c>
      <c r="D276" s="1593"/>
      <c r="E276" s="1594"/>
      <c r="G276" s="341">
        <f t="shared" si="117"/>
        <v>0</v>
      </c>
      <c r="H276" s="360">
        <f t="shared" si="118"/>
        <v>0</v>
      </c>
      <c r="I276" s="365">
        <f t="shared" si="119"/>
        <v>0</v>
      </c>
      <c r="K276" s="341">
        <f t="shared" si="120"/>
        <v>0</v>
      </c>
      <c r="L276" s="360">
        <f t="shared" si="121"/>
        <v>0</v>
      </c>
      <c r="M276" s="365"/>
      <c r="AB276" s="362">
        <f>'PLANILHA GERAL'!$J$111</f>
        <v>1978.71</v>
      </c>
      <c r="AC276" s="362">
        <f t="shared" si="114"/>
        <v>0</v>
      </c>
      <c r="AE276" s="362">
        <f>'PLANILHA GERAL'!$J$113</f>
        <v>225.96</v>
      </c>
      <c r="AF276" s="362">
        <f t="shared" si="122"/>
        <v>0</v>
      </c>
      <c r="AH276" s="362">
        <f>'PLANILHA GERAL'!$J$113</f>
        <v>225.96</v>
      </c>
      <c r="AI276" s="362">
        <f t="shared" si="123"/>
        <v>0</v>
      </c>
    </row>
    <row r="277" spans="1:35" ht="50.1" hidden="1" customHeight="1">
      <c r="A277" s="341">
        <f>DADOS!A30</f>
        <v>0</v>
      </c>
      <c r="B277" s="360">
        <f>DADOS!B30</f>
        <v>0</v>
      </c>
      <c r="C277" s="1592">
        <f t="shared" si="124"/>
        <v>0</v>
      </c>
      <c r="D277" s="1593"/>
      <c r="E277" s="1594"/>
      <c r="G277" s="341">
        <f t="shared" si="117"/>
        <v>0</v>
      </c>
      <c r="H277" s="360">
        <f t="shared" si="118"/>
        <v>0</v>
      </c>
      <c r="I277" s="365">
        <f t="shared" si="119"/>
        <v>0</v>
      </c>
      <c r="K277" s="341">
        <f t="shared" si="120"/>
        <v>0</v>
      </c>
      <c r="L277" s="360">
        <f t="shared" si="121"/>
        <v>0</v>
      </c>
      <c r="M277" s="365"/>
      <c r="AB277" s="362">
        <f>'PLANILHA GERAL'!$J$111</f>
        <v>1978.71</v>
      </c>
      <c r="AC277" s="362">
        <f t="shared" si="114"/>
        <v>0</v>
      </c>
      <c r="AE277" s="362">
        <f>'PLANILHA GERAL'!$J$113</f>
        <v>225.96</v>
      </c>
      <c r="AF277" s="362">
        <f t="shared" si="122"/>
        <v>0</v>
      </c>
      <c r="AH277" s="362">
        <f>'PLANILHA GERAL'!$J$113</f>
        <v>225.96</v>
      </c>
      <c r="AI277" s="362">
        <f t="shared" si="123"/>
        <v>0</v>
      </c>
    </row>
    <row r="278" spans="1:35" ht="50.1" hidden="1" customHeight="1">
      <c r="A278" s="341">
        <f>DADOS!A31</f>
        <v>0</v>
      </c>
      <c r="B278" s="360">
        <f>DADOS!B31</f>
        <v>0</v>
      </c>
      <c r="C278" s="1592">
        <f t="shared" si="124"/>
        <v>0</v>
      </c>
      <c r="D278" s="1593"/>
      <c r="E278" s="1594"/>
      <c r="G278" s="341">
        <f t="shared" si="117"/>
        <v>0</v>
      </c>
      <c r="H278" s="360">
        <f t="shared" si="118"/>
        <v>0</v>
      </c>
      <c r="I278" s="365">
        <f t="shared" si="119"/>
        <v>0</v>
      </c>
      <c r="K278" s="341">
        <f t="shared" si="120"/>
        <v>0</v>
      </c>
      <c r="L278" s="360">
        <f t="shared" si="121"/>
        <v>0</v>
      </c>
      <c r="M278" s="365"/>
      <c r="AB278" s="362">
        <f>'PLANILHA GERAL'!$J$111</f>
        <v>1978.71</v>
      </c>
      <c r="AC278" s="362">
        <f t="shared" si="114"/>
        <v>0</v>
      </c>
      <c r="AE278" s="362">
        <f>'PLANILHA GERAL'!$J$113</f>
        <v>225.96</v>
      </c>
      <c r="AF278" s="362">
        <f t="shared" si="122"/>
        <v>0</v>
      </c>
      <c r="AH278" s="362">
        <f>'PLANILHA GERAL'!$J$113</f>
        <v>225.96</v>
      </c>
      <c r="AI278" s="362">
        <f t="shared" si="123"/>
        <v>0</v>
      </c>
    </row>
    <row r="279" spans="1:35" ht="50.1" hidden="1" customHeight="1">
      <c r="A279" s="341">
        <f>DADOS!A32</f>
        <v>0</v>
      </c>
      <c r="B279" s="360">
        <f>DADOS!B32</f>
        <v>0</v>
      </c>
      <c r="C279" s="1592">
        <f t="shared" si="124"/>
        <v>0</v>
      </c>
      <c r="D279" s="1593"/>
      <c r="E279" s="1594"/>
      <c r="G279" s="341">
        <f t="shared" si="117"/>
        <v>0</v>
      </c>
      <c r="H279" s="360">
        <f t="shared" si="118"/>
        <v>0</v>
      </c>
      <c r="I279" s="365">
        <f t="shared" si="119"/>
        <v>0</v>
      </c>
      <c r="K279" s="341">
        <f t="shared" si="120"/>
        <v>0</v>
      </c>
      <c r="L279" s="360">
        <f t="shared" si="121"/>
        <v>0</v>
      </c>
      <c r="M279" s="365"/>
      <c r="AB279" s="362">
        <f>'PLANILHA GERAL'!$J$111</f>
        <v>1978.71</v>
      </c>
      <c r="AC279" s="362">
        <f t="shared" ref="AC279:AC290" si="125">C279*AB279</f>
        <v>0</v>
      </c>
      <c r="AE279" s="362">
        <f>'PLANILHA GERAL'!$J$113</f>
        <v>225.96</v>
      </c>
      <c r="AF279" s="362">
        <f t="shared" si="122"/>
        <v>0</v>
      </c>
      <c r="AH279" s="362">
        <f>'PLANILHA GERAL'!$J$113</f>
        <v>225.96</v>
      </c>
      <c r="AI279" s="362">
        <f t="shared" si="123"/>
        <v>0</v>
      </c>
    </row>
    <row r="280" spans="1:35" ht="50.1" hidden="1" customHeight="1">
      <c r="A280" s="341">
        <f>DADOS!A33</f>
        <v>0</v>
      </c>
      <c r="B280" s="360">
        <f>DADOS!B33</f>
        <v>0</v>
      </c>
      <c r="C280" s="1592">
        <f t="shared" si="124"/>
        <v>0</v>
      </c>
      <c r="D280" s="1593"/>
      <c r="E280" s="1594"/>
      <c r="G280" s="341">
        <f t="shared" si="117"/>
        <v>0</v>
      </c>
      <c r="H280" s="360">
        <f t="shared" si="118"/>
        <v>0</v>
      </c>
      <c r="I280" s="365">
        <f t="shared" si="119"/>
        <v>0</v>
      </c>
      <c r="K280" s="341">
        <f t="shared" si="120"/>
        <v>0</v>
      </c>
      <c r="L280" s="360">
        <f t="shared" si="121"/>
        <v>0</v>
      </c>
      <c r="M280" s="365"/>
      <c r="AB280" s="362">
        <f>'PLANILHA GERAL'!$J$111</f>
        <v>1978.71</v>
      </c>
      <c r="AC280" s="362">
        <f t="shared" si="125"/>
        <v>0</v>
      </c>
      <c r="AE280" s="362">
        <f>'PLANILHA GERAL'!$J$113</f>
        <v>225.96</v>
      </c>
      <c r="AF280" s="362">
        <f t="shared" si="122"/>
        <v>0</v>
      </c>
      <c r="AH280" s="362">
        <f>'PLANILHA GERAL'!$J$113</f>
        <v>225.96</v>
      </c>
      <c r="AI280" s="362">
        <f t="shared" si="123"/>
        <v>0</v>
      </c>
    </row>
    <row r="281" spans="1:35" ht="50.1" hidden="1" customHeight="1">
      <c r="A281" s="341">
        <f>DADOS!A34</f>
        <v>0</v>
      </c>
      <c r="B281" s="360">
        <f>DADOS!B34</f>
        <v>0</v>
      </c>
      <c r="C281" s="1592">
        <f t="shared" si="124"/>
        <v>0</v>
      </c>
      <c r="D281" s="1593"/>
      <c r="E281" s="1594"/>
      <c r="G281" s="341">
        <f t="shared" si="117"/>
        <v>0</v>
      </c>
      <c r="H281" s="360">
        <f t="shared" si="118"/>
        <v>0</v>
      </c>
      <c r="I281" s="365">
        <f t="shared" si="119"/>
        <v>0</v>
      </c>
      <c r="K281" s="341">
        <f t="shared" si="120"/>
        <v>0</v>
      </c>
      <c r="L281" s="360">
        <f t="shared" si="121"/>
        <v>0</v>
      </c>
      <c r="M281" s="365"/>
      <c r="AB281" s="362">
        <f>'PLANILHA GERAL'!$J$111</f>
        <v>1978.71</v>
      </c>
      <c r="AC281" s="362">
        <f t="shared" si="125"/>
        <v>0</v>
      </c>
      <c r="AE281" s="362">
        <f>'PLANILHA GERAL'!$J$113</f>
        <v>225.96</v>
      </c>
      <c r="AF281" s="362">
        <f t="shared" si="122"/>
        <v>0</v>
      </c>
      <c r="AH281" s="362">
        <f>'PLANILHA GERAL'!$J$113</f>
        <v>225.96</v>
      </c>
      <c r="AI281" s="362">
        <f t="shared" si="123"/>
        <v>0</v>
      </c>
    </row>
    <row r="282" spans="1:35" ht="50.1" hidden="1" customHeight="1">
      <c r="A282" s="341">
        <f>DADOS!A35</f>
        <v>0</v>
      </c>
      <c r="B282" s="360">
        <f>DADOS!B35</f>
        <v>0</v>
      </c>
      <c r="C282" s="1592">
        <f t="shared" si="124"/>
        <v>0</v>
      </c>
      <c r="D282" s="1593"/>
      <c r="E282" s="1594"/>
      <c r="G282" s="341">
        <f t="shared" si="117"/>
        <v>0</v>
      </c>
      <c r="H282" s="360">
        <f t="shared" si="118"/>
        <v>0</v>
      </c>
      <c r="I282" s="365">
        <f t="shared" si="119"/>
        <v>0</v>
      </c>
      <c r="K282" s="341">
        <f t="shared" si="120"/>
        <v>0</v>
      </c>
      <c r="L282" s="360">
        <f t="shared" si="121"/>
        <v>0</v>
      </c>
      <c r="M282" s="365"/>
      <c r="AB282" s="362">
        <f>'PLANILHA GERAL'!$J$111</f>
        <v>1978.71</v>
      </c>
      <c r="AC282" s="362">
        <f t="shared" si="125"/>
        <v>0</v>
      </c>
      <c r="AE282" s="362">
        <f>'PLANILHA GERAL'!$J$113</f>
        <v>225.96</v>
      </c>
      <c r="AF282" s="362">
        <f t="shared" si="122"/>
        <v>0</v>
      </c>
      <c r="AH282" s="362">
        <f>'PLANILHA GERAL'!$J$113</f>
        <v>225.96</v>
      </c>
      <c r="AI282" s="362">
        <f t="shared" si="123"/>
        <v>0</v>
      </c>
    </row>
    <row r="283" spans="1:35" ht="50.1" hidden="1" customHeight="1">
      <c r="A283" s="341">
        <f>DADOS!A36</f>
        <v>0</v>
      </c>
      <c r="B283" s="360">
        <f>DADOS!B36</f>
        <v>0</v>
      </c>
      <c r="C283" s="1592">
        <f t="shared" si="124"/>
        <v>0</v>
      </c>
      <c r="D283" s="1593"/>
      <c r="E283" s="1594"/>
      <c r="G283" s="341">
        <f t="shared" si="117"/>
        <v>0</v>
      </c>
      <c r="H283" s="360">
        <f t="shared" si="118"/>
        <v>0</v>
      </c>
      <c r="I283" s="365">
        <f t="shared" si="119"/>
        <v>0</v>
      </c>
      <c r="K283" s="341">
        <f t="shared" si="120"/>
        <v>0</v>
      </c>
      <c r="L283" s="360">
        <f t="shared" si="121"/>
        <v>0</v>
      </c>
      <c r="M283" s="365"/>
      <c r="AB283" s="362">
        <f>'PLANILHA GERAL'!$J$111</f>
        <v>1978.71</v>
      </c>
      <c r="AC283" s="362">
        <f t="shared" si="125"/>
        <v>0</v>
      </c>
      <c r="AE283" s="362">
        <f>'PLANILHA GERAL'!$J$113</f>
        <v>225.96</v>
      </c>
      <c r="AF283" s="362">
        <f t="shared" si="122"/>
        <v>0</v>
      </c>
      <c r="AH283" s="362">
        <f>'PLANILHA GERAL'!$J$113</f>
        <v>225.96</v>
      </c>
      <c r="AI283" s="362">
        <f t="shared" si="123"/>
        <v>0</v>
      </c>
    </row>
    <row r="284" spans="1:35" ht="50.1" hidden="1" customHeight="1">
      <c r="A284" s="341">
        <f>DADOS!A37</f>
        <v>0</v>
      </c>
      <c r="B284" s="360">
        <f>DADOS!B37</f>
        <v>0</v>
      </c>
      <c r="C284" s="1592">
        <f t="shared" si="124"/>
        <v>0</v>
      </c>
      <c r="D284" s="1593"/>
      <c r="E284" s="1594"/>
      <c r="G284" s="341">
        <f t="shared" si="117"/>
        <v>0</v>
      </c>
      <c r="H284" s="360">
        <f t="shared" si="118"/>
        <v>0</v>
      </c>
      <c r="I284" s="365">
        <f t="shared" si="119"/>
        <v>0</v>
      </c>
      <c r="K284" s="341">
        <f t="shared" si="120"/>
        <v>0</v>
      </c>
      <c r="L284" s="360">
        <f t="shared" si="121"/>
        <v>0</v>
      </c>
      <c r="M284" s="365"/>
      <c r="AB284" s="362">
        <f>'PLANILHA GERAL'!$J$111</f>
        <v>1978.71</v>
      </c>
      <c r="AC284" s="362">
        <f t="shared" si="125"/>
        <v>0</v>
      </c>
      <c r="AE284" s="362">
        <f>'PLANILHA GERAL'!$J$113</f>
        <v>225.96</v>
      </c>
      <c r="AF284" s="362">
        <f t="shared" si="122"/>
        <v>0</v>
      </c>
      <c r="AH284" s="362">
        <f>'PLANILHA GERAL'!$J$113</f>
        <v>225.96</v>
      </c>
      <c r="AI284" s="362">
        <f t="shared" si="123"/>
        <v>0</v>
      </c>
    </row>
    <row r="285" spans="1:35" ht="50.1" hidden="1" customHeight="1">
      <c r="A285" s="341">
        <f>DADOS!A38</f>
        <v>0</v>
      </c>
      <c r="B285" s="360">
        <f>DADOS!B38</f>
        <v>0</v>
      </c>
      <c r="C285" s="1592">
        <f t="shared" si="124"/>
        <v>0</v>
      </c>
      <c r="D285" s="1593"/>
      <c r="E285" s="1594"/>
      <c r="G285" s="341">
        <f t="shared" si="117"/>
        <v>0</v>
      </c>
      <c r="H285" s="360">
        <f t="shared" si="118"/>
        <v>0</v>
      </c>
      <c r="I285" s="365">
        <f t="shared" si="119"/>
        <v>0</v>
      </c>
      <c r="K285" s="341">
        <f t="shared" si="120"/>
        <v>0</v>
      </c>
      <c r="L285" s="360">
        <f t="shared" si="121"/>
        <v>0</v>
      </c>
      <c r="M285" s="365"/>
      <c r="AB285" s="362">
        <f>'PLANILHA GERAL'!$J$111</f>
        <v>1978.71</v>
      </c>
      <c r="AC285" s="362">
        <f t="shared" si="125"/>
        <v>0</v>
      </c>
      <c r="AE285" s="362">
        <f>'PLANILHA GERAL'!$J$113</f>
        <v>225.96</v>
      </c>
      <c r="AF285" s="362">
        <f t="shared" si="122"/>
        <v>0</v>
      </c>
      <c r="AH285" s="362">
        <f>'PLANILHA GERAL'!$J$113</f>
        <v>225.96</v>
      </c>
      <c r="AI285" s="362">
        <f t="shared" si="123"/>
        <v>0</v>
      </c>
    </row>
    <row r="286" spans="1:35" ht="50.1" hidden="1" customHeight="1">
      <c r="A286" s="341">
        <f>DADOS!A39</f>
        <v>0</v>
      </c>
      <c r="B286" s="360">
        <f>DADOS!B39</f>
        <v>0</v>
      </c>
      <c r="C286" s="1592">
        <f t="shared" si="124"/>
        <v>0</v>
      </c>
      <c r="D286" s="1593"/>
      <c r="E286" s="1594"/>
      <c r="G286" s="341">
        <f t="shared" si="117"/>
        <v>0</v>
      </c>
      <c r="H286" s="360">
        <f t="shared" si="118"/>
        <v>0</v>
      </c>
      <c r="I286" s="365">
        <f t="shared" si="119"/>
        <v>0</v>
      </c>
      <c r="K286" s="341">
        <f t="shared" si="120"/>
        <v>0</v>
      </c>
      <c r="L286" s="360">
        <f t="shared" si="121"/>
        <v>0</v>
      </c>
      <c r="M286" s="365"/>
      <c r="AB286" s="362">
        <f>'PLANILHA GERAL'!$J$111</f>
        <v>1978.71</v>
      </c>
      <c r="AC286" s="362">
        <f t="shared" si="125"/>
        <v>0</v>
      </c>
      <c r="AE286" s="362">
        <f>'PLANILHA GERAL'!$J$113</f>
        <v>225.96</v>
      </c>
      <c r="AF286" s="362">
        <f t="shared" si="122"/>
        <v>0</v>
      </c>
      <c r="AH286" s="362">
        <f>'PLANILHA GERAL'!$J$113</f>
        <v>225.96</v>
      </c>
      <c r="AI286" s="362">
        <f t="shared" si="123"/>
        <v>0</v>
      </c>
    </row>
    <row r="287" spans="1:35" ht="50.1" hidden="1" customHeight="1">
      <c r="A287" s="341">
        <f>DADOS!A40</f>
        <v>0</v>
      </c>
      <c r="B287" s="360">
        <f>DADOS!B40</f>
        <v>0</v>
      </c>
      <c r="C287" s="1592">
        <f t="shared" si="124"/>
        <v>0</v>
      </c>
      <c r="D287" s="1593"/>
      <c r="E287" s="1594"/>
      <c r="G287" s="341">
        <f t="shared" si="117"/>
        <v>0</v>
      </c>
      <c r="H287" s="360">
        <f t="shared" si="118"/>
        <v>0</v>
      </c>
      <c r="I287" s="365">
        <f t="shared" si="119"/>
        <v>0</v>
      </c>
      <c r="K287" s="341">
        <f t="shared" si="120"/>
        <v>0</v>
      </c>
      <c r="L287" s="360">
        <f t="shared" si="121"/>
        <v>0</v>
      </c>
      <c r="M287" s="365"/>
      <c r="AB287" s="362">
        <f>'PLANILHA GERAL'!$J$111</f>
        <v>1978.71</v>
      </c>
      <c r="AC287" s="362">
        <f t="shared" si="125"/>
        <v>0</v>
      </c>
      <c r="AE287" s="362">
        <f>'PLANILHA GERAL'!$J$113</f>
        <v>225.96</v>
      </c>
      <c r="AF287" s="362">
        <f t="shared" si="122"/>
        <v>0</v>
      </c>
      <c r="AH287" s="362">
        <f>'PLANILHA GERAL'!$J$113</f>
        <v>225.96</v>
      </c>
      <c r="AI287" s="362">
        <f t="shared" si="123"/>
        <v>0</v>
      </c>
    </row>
    <row r="288" spans="1:35" ht="50.1" hidden="1" customHeight="1">
      <c r="A288" s="341">
        <f>DADOS!A41</f>
        <v>0</v>
      </c>
      <c r="B288" s="360">
        <f>DADOS!B41</f>
        <v>0</v>
      </c>
      <c r="C288" s="1592">
        <f t="shared" si="124"/>
        <v>0</v>
      </c>
      <c r="D288" s="1593"/>
      <c r="E288" s="1594"/>
      <c r="G288" s="341">
        <f t="shared" si="117"/>
        <v>0</v>
      </c>
      <c r="H288" s="360">
        <f t="shared" si="118"/>
        <v>0</v>
      </c>
      <c r="I288" s="365">
        <f t="shared" si="119"/>
        <v>0</v>
      </c>
      <c r="K288" s="341">
        <f t="shared" si="120"/>
        <v>0</v>
      </c>
      <c r="L288" s="360">
        <f t="shared" si="121"/>
        <v>0</v>
      </c>
      <c r="M288" s="365"/>
      <c r="AB288" s="362">
        <f>'PLANILHA GERAL'!$J$111</f>
        <v>1978.71</v>
      </c>
      <c r="AC288" s="362">
        <f t="shared" si="125"/>
        <v>0</v>
      </c>
      <c r="AE288" s="362">
        <f>'PLANILHA GERAL'!$J$113</f>
        <v>225.96</v>
      </c>
      <c r="AF288" s="362">
        <f t="shared" si="122"/>
        <v>0</v>
      </c>
      <c r="AH288" s="362">
        <f>'PLANILHA GERAL'!$J$113</f>
        <v>225.96</v>
      </c>
      <c r="AI288" s="362">
        <f t="shared" si="123"/>
        <v>0</v>
      </c>
    </row>
    <row r="289" spans="1:35" ht="50.1" hidden="1" customHeight="1">
      <c r="A289" s="341">
        <f>DADOS!A42</f>
        <v>0</v>
      </c>
      <c r="B289" s="360">
        <f>DADOS!B42</f>
        <v>0</v>
      </c>
      <c r="C289" s="1592">
        <f t="shared" si="124"/>
        <v>0</v>
      </c>
      <c r="D289" s="1593"/>
      <c r="E289" s="1594"/>
      <c r="G289" s="341">
        <f t="shared" si="117"/>
        <v>0</v>
      </c>
      <c r="H289" s="360">
        <f t="shared" si="118"/>
        <v>0</v>
      </c>
      <c r="I289" s="365">
        <f t="shared" si="119"/>
        <v>0</v>
      </c>
      <c r="K289" s="341">
        <f t="shared" si="120"/>
        <v>0</v>
      </c>
      <c r="L289" s="360">
        <f t="shared" si="121"/>
        <v>0</v>
      </c>
      <c r="M289" s="365"/>
      <c r="AB289" s="362">
        <f>'PLANILHA GERAL'!$J$111</f>
        <v>1978.71</v>
      </c>
      <c r="AC289" s="362">
        <f t="shared" si="125"/>
        <v>0</v>
      </c>
      <c r="AE289" s="362">
        <f>'PLANILHA GERAL'!$J$113</f>
        <v>225.96</v>
      </c>
      <c r="AF289" s="362">
        <f t="shared" si="122"/>
        <v>0</v>
      </c>
      <c r="AH289" s="362">
        <f>'PLANILHA GERAL'!$J$113</f>
        <v>225.96</v>
      </c>
      <c r="AI289" s="362">
        <f t="shared" si="123"/>
        <v>0</v>
      </c>
    </row>
    <row r="290" spans="1:35" ht="50.1" hidden="1" customHeight="1">
      <c r="A290" s="341">
        <f>DADOS!A43</f>
        <v>0</v>
      </c>
      <c r="B290" s="360">
        <f>DADOS!B43</f>
        <v>0</v>
      </c>
      <c r="C290" s="1592">
        <f t="shared" si="124"/>
        <v>0</v>
      </c>
      <c r="D290" s="1593"/>
      <c r="E290" s="1594"/>
      <c r="G290" s="341">
        <f t="shared" si="117"/>
        <v>0</v>
      </c>
      <c r="H290" s="360">
        <f t="shared" si="118"/>
        <v>0</v>
      </c>
      <c r="I290" s="365">
        <f t="shared" si="119"/>
        <v>0</v>
      </c>
      <c r="K290" s="341">
        <f t="shared" si="120"/>
        <v>0</v>
      </c>
      <c r="L290" s="360">
        <f t="shared" si="121"/>
        <v>0</v>
      </c>
      <c r="M290" s="365"/>
      <c r="AB290" s="362">
        <f>'PLANILHA GERAL'!$J$111</f>
        <v>1978.71</v>
      </c>
      <c r="AC290" s="362">
        <f t="shared" si="125"/>
        <v>0</v>
      </c>
      <c r="AE290" s="362">
        <f>'PLANILHA GERAL'!$J$113</f>
        <v>225.96</v>
      </c>
      <c r="AF290" s="362">
        <f t="shared" si="122"/>
        <v>0</v>
      </c>
      <c r="AH290" s="362">
        <f>'PLANILHA GERAL'!$J$113</f>
        <v>225.96</v>
      </c>
      <c r="AI290" s="362">
        <f t="shared" si="123"/>
        <v>0</v>
      </c>
    </row>
    <row r="291" spans="1:35" ht="50.1" hidden="1" customHeight="1">
      <c r="A291" s="341">
        <f>DADOS!A44</f>
        <v>0</v>
      </c>
      <c r="B291" s="360">
        <f>DADOS!B44</f>
        <v>0</v>
      </c>
      <c r="C291" s="1592">
        <f t="shared" si="124"/>
        <v>0</v>
      </c>
      <c r="D291" s="1593"/>
      <c r="E291" s="1594"/>
      <c r="G291" s="341">
        <f t="shared" si="117"/>
        <v>0</v>
      </c>
      <c r="H291" s="360">
        <f t="shared" si="118"/>
        <v>0</v>
      </c>
      <c r="I291" s="365">
        <f t="shared" si="119"/>
        <v>0</v>
      </c>
      <c r="K291" s="341">
        <f t="shared" si="120"/>
        <v>0</v>
      </c>
      <c r="L291" s="360">
        <f t="shared" si="121"/>
        <v>0</v>
      </c>
      <c r="M291" s="365"/>
      <c r="AB291" s="362">
        <f>'PLANILHA GERAL'!$J$111</f>
        <v>1978.71</v>
      </c>
      <c r="AC291" s="362">
        <f t="shared" ref="AC291:AC296" si="126">C291*AB291</f>
        <v>0</v>
      </c>
      <c r="AE291" s="362">
        <f>'PLANILHA GERAL'!$J$113</f>
        <v>225.96</v>
      </c>
      <c r="AF291" s="362">
        <f t="shared" si="122"/>
        <v>0</v>
      </c>
      <c r="AH291" s="362">
        <f>'PLANILHA GERAL'!$J$113</f>
        <v>225.96</v>
      </c>
      <c r="AI291" s="362">
        <f t="shared" si="123"/>
        <v>0</v>
      </c>
    </row>
    <row r="292" spans="1:35" ht="50.1" hidden="1" customHeight="1">
      <c r="A292" s="341">
        <f>DADOS!A45</f>
        <v>0</v>
      </c>
      <c r="B292" s="360">
        <f>DADOS!B45</f>
        <v>0</v>
      </c>
      <c r="C292" s="1592">
        <f t="shared" si="124"/>
        <v>0</v>
      </c>
      <c r="D292" s="1593"/>
      <c r="E292" s="1594"/>
      <c r="G292" s="341">
        <f t="shared" si="117"/>
        <v>0</v>
      </c>
      <c r="H292" s="360">
        <f t="shared" si="118"/>
        <v>0</v>
      </c>
      <c r="I292" s="365">
        <f t="shared" si="119"/>
        <v>0</v>
      </c>
      <c r="K292" s="341">
        <f t="shared" si="120"/>
        <v>0</v>
      </c>
      <c r="L292" s="360">
        <f t="shared" si="121"/>
        <v>0</v>
      </c>
      <c r="M292" s="365"/>
      <c r="AB292" s="362">
        <f>'PLANILHA GERAL'!$J$111</f>
        <v>1978.71</v>
      </c>
      <c r="AC292" s="362">
        <f t="shared" si="126"/>
        <v>0</v>
      </c>
      <c r="AE292" s="362">
        <f>'PLANILHA GERAL'!$J$113</f>
        <v>225.96</v>
      </c>
      <c r="AF292" s="362">
        <f t="shared" si="122"/>
        <v>0</v>
      </c>
      <c r="AH292" s="362">
        <f>'PLANILHA GERAL'!$J$113</f>
        <v>225.96</v>
      </c>
      <c r="AI292" s="362">
        <f t="shared" si="123"/>
        <v>0</v>
      </c>
    </row>
    <row r="293" spans="1:35" ht="50.1" hidden="1" customHeight="1">
      <c r="A293" s="341">
        <f>DADOS!A46</f>
        <v>0</v>
      </c>
      <c r="B293" s="360">
        <f>DADOS!B46</f>
        <v>0</v>
      </c>
      <c r="C293" s="1592">
        <f t="shared" si="124"/>
        <v>0</v>
      </c>
      <c r="D293" s="1593"/>
      <c r="E293" s="1594"/>
      <c r="G293" s="341">
        <f t="shared" si="117"/>
        <v>0</v>
      </c>
      <c r="H293" s="360">
        <f t="shared" si="118"/>
        <v>0</v>
      </c>
      <c r="I293" s="365">
        <f t="shared" si="119"/>
        <v>0</v>
      </c>
      <c r="K293" s="341">
        <f t="shared" si="120"/>
        <v>0</v>
      </c>
      <c r="L293" s="360">
        <f t="shared" si="121"/>
        <v>0</v>
      </c>
      <c r="M293" s="365"/>
      <c r="AB293" s="362">
        <f>'PLANILHA GERAL'!$J$111</f>
        <v>1978.71</v>
      </c>
      <c r="AC293" s="362">
        <f t="shared" si="126"/>
        <v>0</v>
      </c>
      <c r="AE293" s="362">
        <f>'PLANILHA GERAL'!$J$113</f>
        <v>225.96</v>
      </c>
      <c r="AF293" s="362">
        <f t="shared" si="122"/>
        <v>0</v>
      </c>
      <c r="AH293" s="362">
        <f>'PLANILHA GERAL'!$J$113</f>
        <v>225.96</v>
      </c>
      <c r="AI293" s="362">
        <f t="shared" si="123"/>
        <v>0</v>
      </c>
    </row>
    <row r="294" spans="1:35" ht="50.1" hidden="1" customHeight="1">
      <c r="A294" s="341">
        <f>DADOS!A47</f>
        <v>0</v>
      </c>
      <c r="B294" s="360">
        <f>DADOS!B47</f>
        <v>0</v>
      </c>
      <c r="C294" s="1592">
        <f t="shared" si="124"/>
        <v>0</v>
      </c>
      <c r="D294" s="1593"/>
      <c r="E294" s="1594"/>
      <c r="G294" s="341">
        <f t="shared" si="117"/>
        <v>0</v>
      </c>
      <c r="H294" s="360">
        <f t="shared" si="118"/>
        <v>0</v>
      </c>
      <c r="I294" s="365">
        <f t="shared" si="119"/>
        <v>0</v>
      </c>
      <c r="K294" s="341">
        <f t="shared" si="120"/>
        <v>0</v>
      </c>
      <c r="L294" s="360">
        <f t="shared" si="121"/>
        <v>0</v>
      </c>
      <c r="M294" s="365"/>
      <c r="AB294" s="362">
        <f>'PLANILHA GERAL'!$J$111</f>
        <v>1978.71</v>
      </c>
      <c r="AC294" s="362">
        <f t="shared" si="126"/>
        <v>0</v>
      </c>
      <c r="AE294" s="362">
        <f>'PLANILHA GERAL'!$J$113</f>
        <v>225.96</v>
      </c>
      <c r="AF294" s="362">
        <f t="shared" si="122"/>
        <v>0</v>
      </c>
      <c r="AH294" s="362">
        <f>'PLANILHA GERAL'!$J$113</f>
        <v>225.96</v>
      </c>
      <c r="AI294" s="362">
        <f t="shared" si="123"/>
        <v>0</v>
      </c>
    </row>
    <row r="295" spans="1:35" ht="50.1" hidden="1" customHeight="1">
      <c r="A295" s="341">
        <f>DADOS!A48</f>
        <v>0</v>
      </c>
      <c r="B295" s="360">
        <f>DADOS!B48</f>
        <v>0</v>
      </c>
      <c r="C295" s="1592">
        <f t="shared" si="124"/>
        <v>0</v>
      </c>
      <c r="D295" s="1593"/>
      <c r="E295" s="1594"/>
      <c r="G295" s="341">
        <f t="shared" si="117"/>
        <v>0</v>
      </c>
      <c r="H295" s="360">
        <f t="shared" si="118"/>
        <v>0</v>
      </c>
      <c r="I295" s="365">
        <f t="shared" si="119"/>
        <v>0</v>
      </c>
      <c r="K295" s="341">
        <f t="shared" si="120"/>
        <v>0</v>
      </c>
      <c r="L295" s="360">
        <f t="shared" si="121"/>
        <v>0</v>
      </c>
      <c r="M295" s="365"/>
      <c r="AB295" s="362">
        <f>'PLANILHA GERAL'!$J$111</f>
        <v>1978.71</v>
      </c>
      <c r="AC295" s="362">
        <f t="shared" si="126"/>
        <v>0</v>
      </c>
      <c r="AE295" s="362">
        <f>'PLANILHA GERAL'!$J$113</f>
        <v>225.96</v>
      </c>
      <c r="AF295" s="362">
        <f t="shared" si="122"/>
        <v>0</v>
      </c>
      <c r="AH295" s="362">
        <f>'PLANILHA GERAL'!$J$113</f>
        <v>225.96</v>
      </c>
      <c r="AI295" s="362">
        <f t="shared" si="123"/>
        <v>0</v>
      </c>
    </row>
    <row r="296" spans="1:35" ht="50.1" hidden="1" customHeight="1">
      <c r="A296" s="341">
        <f>DADOS!A49</f>
        <v>0</v>
      </c>
      <c r="B296" s="360">
        <f>DADOS!B49</f>
        <v>0</v>
      </c>
      <c r="C296" s="1592">
        <f t="shared" si="124"/>
        <v>0</v>
      </c>
      <c r="D296" s="1593"/>
      <c r="E296" s="1594"/>
      <c r="G296" s="341">
        <f t="shared" si="117"/>
        <v>0</v>
      </c>
      <c r="H296" s="360">
        <f t="shared" si="118"/>
        <v>0</v>
      </c>
      <c r="I296" s="365">
        <f t="shared" si="119"/>
        <v>0</v>
      </c>
      <c r="K296" s="341">
        <f t="shared" si="120"/>
        <v>0</v>
      </c>
      <c r="L296" s="360">
        <f t="shared" si="121"/>
        <v>0</v>
      </c>
      <c r="M296" s="365"/>
      <c r="AB296" s="362">
        <f>'PLANILHA GERAL'!$J$111</f>
        <v>1978.71</v>
      </c>
      <c r="AC296" s="362">
        <f t="shared" si="126"/>
        <v>0</v>
      </c>
      <c r="AE296" s="362">
        <f>'PLANILHA GERAL'!$J$113</f>
        <v>225.96</v>
      </c>
      <c r="AF296" s="362">
        <f t="shared" si="122"/>
        <v>0</v>
      </c>
      <c r="AH296" s="362">
        <f>'PLANILHA GERAL'!$J$113</f>
        <v>225.96</v>
      </c>
      <c r="AI296" s="362">
        <f t="shared" si="123"/>
        <v>0</v>
      </c>
    </row>
    <row r="297" spans="1:35" ht="50.1" hidden="1" customHeight="1">
      <c r="A297" s="341"/>
      <c r="B297" s="360"/>
      <c r="C297" s="1592"/>
      <c r="D297" s="1593"/>
      <c r="E297" s="1594"/>
      <c r="G297" s="341"/>
      <c r="H297" s="360"/>
      <c r="I297" s="365"/>
      <c r="K297" s="341"/>
      <c r="L297" s="360"/>
      <c r="M297" s="365"/>
      <c r="AB297" s="364"/>
      <c r="AC297" s="364"/>
      <c r="AE297" s="364"/>
      <c r="AF297" s="364"/>
      <c r="AH297" s="364"/>
      <c r="AI297" s="364"/>
    </row>
    <row r="298" spans="1:35" ht="50.1" hidden="1" customHeight="1">
      <c r="A298" s="341"/>
      <c r="B298" s="360"/>
      <c r="C298" s="1592"/>
      <c r="D298" s="1593"/>
      <c r="E298" s="1594"/>
      <c r="G298" s="341"/>
      <c r="H298" s="360"/>
      <c r="I298" s="365"/>
      <c r="K298" s="341"/>
      <c r="L298" s="360"/>
      <c r="M298" s="365"/>
      <c r="AB298" s="364"/>
      <c r="AC298" s="364"/>
      <c r="AE298" s="364"/>
      <c r="AF298" s="364"/>
      <c r="AH298" s="364"/>
      <c r="AI298" s="364"/>
    </row>
    <row r="299" spans="1:35" ht="50.1" hidden="1" customHeight="1">
      <c r="A299" s="341"/>
      <c r="B299" s="360"/>
      <c r="C299" s="1592"/>
      <c r="D299" s="1593"/>
      <c r="E299" s="1594"/>
      <c r="G299" s="341"/>
      <c r="H299" s="360"/>
      <c r="I299" s="365"/>
      <c r="K299" s="341"/>
      <c r="L299" s="360"/>
      <c r="M299" s="365"/>
      <c r="AB299" s="364"/>
      <c r="AC299" s="364"/>
      <c r="AE299" s="364"/>
      <c r="AF299" s="364"/>
      <c r="AH299" s="364"/>
      <c r="AI299" s="364"/>
    </row>
    <row r="300" spans="1:35" ht="50.1" hidden="1" customHeight="1">
      <c r="A300" s="341"/>
      <c r="B300" s="360"/>
      <c r="C300" s="1592"/>
      <c r="D300" s="1593"/>
      <c r="E300" s="1594"/>
      <c r="G300" s="341"/>
      <c r="H300" s="360"/>
      <c r="I300" s="365"/>
      <c r="K300" s="341"/>
      <c r="L300" s="360"/>
      <c r="M300" s="365"/>
      <c r="AB300" s="364"/>
      <c r="AC300" s="364"/>
      <c r="AE300" s="364"/>
      <c r="AF300" s="364"/>
      <c r="AH300" s="364"/>
      <c r="AI300" s="364"/>
    </row>
    <row r="301" spans="1:35" ht="50.1" hidden="1" customHeight="1">
      <c r="A301" s="341"/>
      <c r="B301" s="360"/>
      <c r="C301" s="1592"/>
      <c r="D301" s="1593"/>
      <c r="E301" s="1594"/>
      <c r="G301" s="341"/>
      <c r="H301" s="360"/>
      <c r="I301" s="365"/>
      <c r="K301" s="341"/>
      <c r="L301" s="360"/>
      <c r="M301" s="365"/>
      <c r="AB301" s="364"/>
      <c r="AC301" s="364"/>
      <c r="AE301" s="364"/>
      <c r="AF301" s="364"/>
      <c r="AH301" s="364"/>
      <c r="AI301" s="364"/>
    </row>
    <row r="302" spans="1:35" ht="50.1" hidden="1" customHeight="1">
      <c r="A302" s="341"/>
      <c r="B302" s="360"/>
      <c r="C302" s="1592"/>
      <c r="D302" s="1593"/>
      <c r="E302" s="1594"/>
      <c r="G302" s="341"/>
      <c r="H302" s="360"/>
      <c r="I302" s="365"/>
      <c r="K302" s="341"/>
      <c r="L302" s="360"/>
      <c r="M302" s="365"/>
      <c r="AB302" s="364"/>
      <c r="AC302" s="364"/>
      <c r="AE302" s="364"/>
      <c r="AF302" s="364"/>
      <c r="AH302" s="364"/>
      <c r="AI302" s="364"/>
    </row>
    <row r="303" spans="1:35" ht="50.1" hidden="1" customHeight="1">
      <c r="A303" s="341"/>
      <c r="B303" s="360"/>
      <c r="C303" s="1592"/>
      <c r="D303" s="1593"/>
      <c r="E303" s="1594"/>
      <c r="G303" s="341"/>
      <c r="H303" s="360"/>
      <c r="I303" s="365"/>
      <c r="K303" s="341"/>
      <c r="L303" s="360"/>
      <c r="M303" s="365"/>
      <c r="AB303" s="364"/>
      <c r="AC303" s="364"/>
      <c r="AE303" s="364"/>
      <c r="AF303" s="364"/>
      <c r="AH303" s="364"/>
      <c r="AI303" s="364"/>
    </row>
    <row r="304" spans="1:35" ht="50.1" customHeight="1">
      <c r="A304" s="1640" t="s">
        <v>22</v>
      </c>
      <c r="B304" s="1640"/>
      <c r="C304" s="1625">
        <f>SUM(C214:E296)</f>
        <v>126</v>
      </c>
      <c r="D304" s="1625"/>
      <c r="E304" s="1625"/>
      <c r="G304" s="1590" t="s">
        <v>22</v>
      </c>
      <c r="H304" s="1591"/>
      <c r="I304" s="363">
        <f>SUM(I214:I303)</f>
        <v>126</v>
      </c>
      <c r="K304" s="1590" t="s">
        <v>22</v>
      </c>
      <c r="L304" s="1591"/>
      <c r="M304" s="363">
        <f>SUM(M214:M296)</f>
        <v>184</v>
      </c>
      <c r="AB304" s="364"/>
      <c r="AC304" s="364"/>
    </row>
    <row r="305" spans="1:38" ht="50.1" customHeight="1">
      <c r="A305" s="359"/>
      <c r="B305" s="359"/>
      <c r="C305" s="359"/>
      <c r="D305" s="359"/>
      <c r="AB305" s="364"/>
      <c r="AC305" s="364"/>
    </row>
    <row r="306" spans="1:38" s="331" customFormat="1" ht="45" customHeight="1">
      <c r="A306" s="1627" t="s">
        <v>326</v>
      </c>
      <c r="B306" s="1627"/>
      <c r="C306" s="1627"/>
      <c r="D306" s="1627"/>
      <c r="E306" s="1627"/>
      <c r="F306" s="355"/>
      <c r="G306" s="1587" t="s">
        <v>428</v>
      </c>
      <c r="H306" s="1588"/>
      <c r="I306" s="1589"/>
      <c r="K306" s="1587" t="s">
        <v>472</v>
      </c>
      <c r="L306" s="1588"/>
      <c r="M306" s="1589"/>
      <c r="O306" s="1587" t="s">
        <v>754</v>
      </c>
      <c r="P306" s="1588"/>
      <c r="Q306" s="1589"/>
      <c r="AB306" s="1595" t="str">
        <f>A306</f>
        <v>POÇOS DE VISITA</v>
      </c>
      <c r="AC306" s="1596"/>
      <c r="AE306" s="1595" t="str">
        <f>G306</f>
        <v>TAMPA PARA POÇOS DE VISITA</v>
      </c>
      <c r="AF306" s="1596"/>
      <c r="AH306" s="1595" t="str">
        <f>K306</f>
        <v>ALA DE LANÇAMENTO</v>
      </c>
      <c r="AI306" s="1596"/>
      <c r="AK306" s="1595" t="str">
        <f>O306</f>
        <v>RECUPERAÇÃO DE PV´S</v>
      </c>
      <c r="AL306" s="1596"/>
    </row>
    <row r="307" spans="1:38" ht="50.1" customHeight="1">
      <c r="A307" s="341" t="s">
        <v>6</v>
      </c>
      <c r="B307" s="341" t="s">
        <v>222</v>
      </c>
      <c r="C307" s="1626" t="s">
        <v>224</v>
      </c>
      <c r="D307" s="1626"/>
      <c r="E307" s="1626"/>
      <c r="G307" s="341" t="s">
        <v>6</v>
      </c>
      <c r="H307" s="341" t="s">
        <v>222</v>
      </c>
      <c r="I307" s="360" t="s">
        <v>224</v>
      </c>
      <c r="K307" s="341" t="s">
        <v>6</v>
      </c>
      <c r="L307" s="341" t="s">
        <v>222</v>
      </c>
      <c r="M307" s="360" t="s">
        <v>224</v>
      </c>
      <c r="O307" s="341" t="s">
        <v>6</v>
      </c>
      <c r="P307" s="341" t="s">
        <v>222</v>
      </c>
      <c r="Q307" s="360" t="s">
        <v>224</v>
      </c>
      <c r="AB307" s="360" t="s">
        <v>484</v>
      </c>
      <c r="AC307" s="360" t="s">
        <v>22</v>
      </c>
      <c r="AE307" s="360" t="s">
        <v>484</v>
      </c>
      <c r="AF307" s="360" t="s">
        <v>22</v>
      </c>
      <c r="AH307" s="360" t="s">
        <v>484</v>
      </c>
      <c r="AI307" s="360" t="s">
        <v>22</v>
      </c>
      <c r="AK307" s="360" t="s">
        <v>484</v>
      </c>
      <c r="AL307" s="360" t="s">
        <v>22</v>
      </c>
    </row>
    <row r="308" spans="1:38" ht="50.1" hidden="1" customHeight="1">
      <c r="A308" s="341">
        <f>A214</f>
        <v>1</v>
      </c>
      <c r="B308" s="360"/>
      <c r="C308" s="1592"/>
      <c r="D308" s="1593"/>
      <c r="E308" s="1594"/>
      <c r="G308" s="341">
        <f t="shared" ref="G308:G345" si="127">A308</f>
        <v>1</v>
      </c>
      <c r="H308" s="360">
        <f t="shared" ref="H308:H345" si="128">B308</f>
        <v>0</v>
      </c>
      <c r="I308" s="365">
        <f t="shared" ref="I308:I345" si="129">C308</f>
        <v>0</v>
      </c>
      <c r="K308" s="341">
        <f t="shared" ref="K308:K345" si="130">G308</f>
        <v>1</v>
      </c>
      <c r="L308" s="360">
        <f t="shared" ref="L308:L345" si="131">H308</f>
        <v>0</v>
      </c>
      <c r="M308" s="365"/>
      <c r="O308" s="341">
        <f>K308</f>
        <v>1</v>
      </c>
      <c r="P308" s="360">
        <f>L308</f>
        <v>0</v>
      </c>
      <c r="Q308" s="365">
        <f>ROUNDUP(M214/2,)</f>
        <v>0</v>
      </c>
      <c r="AB308" s="362">
        <f>'PLANILHA GERAL'!$J$115</f>
        <v>8057.64</v>
      </c>
      <c r="AC308" s="362">
        <f t="shared" ref="AC308:AC327" si="132">C308*AB308</f>
        <v>0</v>
      </c>
      <c r="AE308" s="362">
        <f>'PLANILHA GERAL'!$J$117</f>
        <v>1983.39</v>
      </c>
      <c r="AF308" s="362">
        <f t="shared" ref="AF308:AF345" si="133">I308*AE308</f>
        <v>0</v>
      </c>
      <c r="AH308" s="362">
        <f>'PLANILHA GERAL'!$J$119</f>
        <v>8057.64</v>
      </c>
      <c r="AI308" s="362">
        <f t="shared" ref="AI308:AI345" si="134">M308*AH308</f>
        <v>0</v>
      </c>
      <c r="AK308" s="362">
        <f>'PLANILHA GERAL'!$I$116</f>
        <v>4369.08</v>
      </c>
      <c r="AL308" s="362">
        <f t="shared" ref="AL308:AL345" si="135">Q308*AK308</f>
        <v>0</v>
      </c>
    </row>
    <row r="309" spans="1:38" ht="50.1" customHeight="1">
      <c r="A309" s="341">
        <v>1</v>
      </c>
      <c r="B309" s="343" t="s">
        <v>1929</v>
      </c>
      <c r="C309" s="1592">
        <f>ROUNDUP(SUM(E210,E182,E154,E126,E98)/60,)</f>
        <v>63</v>
      </c>
      <c r="D309" s="1593"/>
      <c r="E309" s="1594"/>
      <c r="G309" s="341">
        <f t="shared" si="127"/>
        <v>1</v>
      </c>
      <c r="H309" s="360" t="str">
        <f t="shared" si="128"/>
        <v>ANANINDEUA</v>
      </c>
      <c r="I309" s="365">
        <f t="shared" si="129"/>
        <v>63</v>
      </c>
      <c r="K309" s="341">
        <f t="shared" si="130"/>
        <v>1</v>
      </c>
      <c r="L309" s="360" t="str">
        <f t="shared" si="131"/>
        <v>ANANINDEUA</v>
      </c>
      <c r="M309" s="365"/>
      <c r="O309" s="341">
        <f t="shared" ref="O309:O345" si="136">K309</f>
        <v>1</v>
      </c>
      <c r="P309" s="1356">
        <f>ROUNDUP(('MC-PAV'!C56-'MC-PAV'!C19),)*50%</f>
        <v>5500</v>
      </c>
      <c r="Q309" s="365">
        <f>ROUNDUP(P309/60,)</f>
        <v>92</v>
      </c>
      <c r="AB309" s="362">
        <f>'PLANILHA GERAL'!$J$115</f>
        <v>8057.64</v>
      </c>
      <c r="AC309" s="362">
        <f t="shared" si="132"/>
        <v>507631.32</v>
      </c>
      <c r="AE309" s="362">
        <f>'PLANILHA GERAL'!$J$117</f>
        <v>1983.39</v>
      </c>
      <c r="AF309" s="362">
        <f t="shared" si="133"/>
        <v>124953.57</v>
      </c>
      <c r="AH309" s="362">
        <f>'PLANILHA GERAL'!$J$119</f>
        <v>8057.64</v>
      </c>
      <c r="AI309" s="362">
        <f t="shared" si="134"/>
        <v>0</v>
      </c>
      <c r="AK309" s="362">
        <f>'PLANILHA GERAL'!$I$116</f>
        <v>4369.08</v>
      </c>
      <c r="AL309" s="362">
        <f t="shared" si="135"/>
        <v>401955.36</v>
      </c>
    </row>
    <row r="310" spans="1:38" ht="50.1" hidden="1" customHeight="1">
      <c r="A310" s="341">
        <f t="shared" ref="A310:A345" si="137">A261</f>
        <v>0</v>
      </c>
      <c r="B310" s="360"/>
      <c r="C310" s="1592"/>
      <c r="D310" s="1593"/>
      <c r="E310" s="1594"/>
      <c r="G310" s="341">
        <f t="shared" si="127"/>
        <v>0</v>
      </c>
      <c r="H310" s="360">
        <f t="shared" si="128"/>
        <v>0</v>
      </c>
      <c r="I310" s="365">
        <f t="shared" si="129"/>
        <v>0</v>
      </c>
      <c r="K310" s="341">
        <f t="shared" si="130"/>
        <v>0</v>
      </c>
      <c r="L310" s="360">
        <f t="shared" si="131"/>
        <v>0</v>
      </c>
      <c r="M310" s="365"/>
      <c r="O310" s="341">
        <f t="shared" si="136"/>
        <v>0</v>
      </c>
      <c r="P310" s="360">
        <f t="shared" ref="P310:P345" si="138">L310</f>
        <v>0</v>
      </c>
      <c r="Q310" s="365">
        <v>62</v>
      </c>
      <c r="AB310" s="362">
        <f>'PLANILHA GERAL'!$J$115</f>
        <v>8057.64</v>
      </c>
      <c r="AC310" s="362">
        <f t="shared" si="132"/>
        <v>0</v>
      </c>
      <c r="AE310" s="362">
        <f>'PLANILHA GERAL'!$J$117</f>
        <v>1983.39</v>
      </c>
      <c r="AF310" s="362">
        <f t="shared" si="133"/>
        <v>0</v>
      </c>
      <c r="AH310" s="362">
        <f>'PLANILHA GERAL'!$J$119</f>
        <v>8057.64</v>
      </c>
      <c r="AI310" s="362">
        <f t="shared" si="134"/>
        <v>0</v>
      </c>
      <c r="AK310" s="362">
        <f>'PLANILHA GERAL'!$I$116</f>
        <v>4369.08</v>
      </c>
      <c r="AL310" s="362">
        <f t="shared" si="135"/>
        <v>270882.96000000002</v>
      </c>
    </row>
    <row r="311" spans="1:38" ht="50.1" hidden="1" customHeight="1">
      <c r="A311" s="341">
        <f t="shared" si="137"/>
        <v>0</v>
      </c>
      <c r="B311" s="360"/>
      <c r="C311" s="1592"/>
      <c r="D311" s="1593"/>
      <c r="E311" s="1594"/>
      <c r="G311" s="341">
        <f t="shared" si="127"/>
        <v>0</v>
      </c>
      <c r="H311" s="360">
        <f t="shared" si="128"/>
        <v>0</v>
      </c>
      <c r="I311" s="365">
        <f t="shared" si="129"/>
        <v>0</v>
      </c>
      <c r="K311" s="341">
        <f t="shared" si="130"/>
        <v>0</v>
      </c>
      <c r="L311" s="360">
        <f t="shared" si="131"/>
        <v>0</v>
      </c>
      <c r="M311" s="365"/>
      <c r="O311" s="341">
        <f t="shared" si="136"/>
        <v>0</v>
      </c>
      <c r="P311" s="360">
        <f t="shared" si="138"/>
        <v>0</v>
      </c>
      <c r="Q311" s="365">
        <v>30</v>
      </c>
      <c r="AB311" s="362">
        <f>'PLANILHA GERAL'!$J$115</f>
        <v>8057.64</v>
      </c>
      <c r="AC311" s="362">
        <f t="shared" si="132"/>
        <v>0</v>
      </c>
      <c r="AE311" s="362">
        <f>'PLANILHA GERAL'!$J$117</f>
        <v>1983.39</v>
      </c>
      <c r="AF311" s="362">
        <f t="shared" si="133"/>
        <v>0</v>
      </c>
      <c r="AH311" s="362">
        <f>'PLANILHA GERAL'!$J$119</f>
        <v>8057.64</v>
      </c>
      <c r="AI311" s="362">
        <f t="shared" si="134"/>
        <v>0</v>
      </c>
      <c r="AK311" s="362">
        <f>'PLANILHA GERAL'!$I$116</f>
        <v>4369.08</v>
      </c>
      <c r="AL311" s="362">
        <f t="shared" si="135"/>
        <v>131072.4</v>
      </c>
    </row>
    <row r="312" spans="1:38" ht="50.1" hidden="1" customHeight="1">
      <c r="A312" s="341">
        <f t="shared" si="137"/>
        <v>0</v>
      </c>
      <c r="B312" s="360"/>
      <c r="C312" s="1592"/>
      <c r="D312" s="1593"/>
      <c r="E312" s="1594"/>
      <c r="G312" s="341">
        <f t="shared" si="127"/>
        <v>0</v>
      </c>
      <c r="H312" s="360">
        <f t="shared" si="128"/>
        <v>0</v>
      </c>
      <c r="I312" s="365">
        <f t="shared" si="129"/>
        <v>0</v>
      </c>
      <c r="K312" s="341">
        <f t="shared" si="130"/>
        <v>0</v>
      </c>
      <c r="L312" s="360">
        <f t="shared" si="131"/>
        <v>0</v>
      </c>
      <c r="M312" s="365"/>
      <c r="O312" s="341">
        <f t="shared" si="136"/>
        <v>0</v>
      </c>
      <c r="P312" s="360">
        <f t="shared" si="138"/>
        <v>0</v>
      </c>
      <c r="Q312" s="365">
        <f t="shared" ref="Q312:Q345" si="139">ROUNDUP(M263/2,)</f>
        <v>0</v>
      </c>
      <c r="AB312" s="362">
        <f>'PLANILHA GERAL'!$J$115</f>
        <v>8057.64</v>
      </c>
      <c r="AC312" s="362">
        <f t="shared" si="132"/>
        <v>0</v>
      </c>
      <c r="AE312" s="362">
        <f>'PLANILHA GERAL'!$J$117</f>
        <v>1983.39</v>
      </c>
      <c r="AF312" s="362">
        <f t="shared" si="133"/>
        <v>0</v>
      </c>
      <c r="AH312" s="362">
        <f>'PLANILHA GERAL'!$J$119</f>
        <v>8057.64</v>
      </c>
      <c r="AI312" s="362">
        <f t="shared" si="134"/>
        <v>0</v>
      </c>
      <c r="AK312" s="362">
        <f>'PLANILHA GERAL'!$I$116</f>
        <v>4369.08</v>
      </c>
      <c r="AL312" s="362">
        <f t="shared" si="135"/>
        <v>0</v>
      </c>
    </row>
    <row r="313" spans="1:38" ht="50.1" hidden="1" customHeight="1">
      <c r="A313" s="341">
        <f t="shared" si="137"/>
        <v>0</v>
      </c>
      <c r="B313" s="360"/>
      <c r="C313" s="1592"/>
      <c r="D313" s="1593"/>
      <c r="E313" s="1594"/>
      <c r="G313" s="341">
        <f t="shared" si="127"/>
        <v>0</v>
      </c>
      <c r="H313" s="360">
        <f t="shared" si="128"/>
        <v>0</v>
      </c>
      <c r="I313" s="365">
        <f t="shared" si="129"/>
        <v>0</v>
      </c>
      <c r="K313" s="341">
        <f t="shared" si="130"/>
        <v>0</v>
      </c>
      <c r="L313" s="360">
        <f t="shared" si="131"/>
        <v>0</v>
      </c>
      <c r="M313" s="365"/>
      <c r="O313" s="341">
        <f t="shared" si="136"/>
        <v>0</v>
      </c>
      <c r="P313" s="360">
        <f t="shared" si="138"/>
        <v>0</v>
      </c>
      <c r="Q313" s="365">
        <f t="shared" si="139"/>
        <v>0</v>
      </c>
      <c r="AB313" s="362">
        <f>'PLANILHA GERAL'!$J$115</f>
        <v>8057.64</v>
      </c>
      <c r="AC313" s="362">
        <f t="shared" si="132"/>
        <v>0</v>
      </c>
      <c r="AE313" s="362">
        <f>'PLANILHA GERAL'!$J$117</f>
        <v>1983.39</v>
      </c>
      <c r="AF313" s="362">
        <f t="shared" si="133"/>
        <v>0</v>
      </c>
      <c r="AH313" s="362">
        <f>'PLANILHA GERAL'!$J$119</f>
        <v>8057.64</v>
      </c>
      <c r="AI313" s="362">
        <f t="shared" si="134"/>
        <v>0</v>
      </c>
      <c r="AK313" s="362">
        <f>'PLANILHA GERAL'!$I$116</f>
        <v>4369.08</v>
      </c>
      <c r="AL313" s="362">
        <f t="shared" si="135"/>
        <v>0</v>
      </c>
    </row>
    <row r="314" spans="1:38" ht="50.1" hidden="1" customHeight="1">
      <c r="A314" s="341">
        <f t="shared" si="137"/>
        <v>0</v>
      </c>
      <c r="B314" s="360"/>
      <c r="C314" s="1592"/>
      <c r="D314" s="1593"/>
      <c r="E314" s="1594"/>
      <c r="G314" s="341">
        <f t="shared" si="127"/>
        <v>0</v>
      </c>
      <c r="H314" s="360">
        <f t="shared" si="128"/>
        <v>0</v>
      </c>
      <c r="I314" s="365">
        <f t="shared" si="129"/>
        <v>0</v>
      </c>
      <c r="K314" s="341">
        <f t="shared" si="130"/>
        <v>0</v>
      </c>
      <c r="L314" s="360">
        <f t="shared" si="131"/>
        <v>0</v>
      </c>
      <c r="M314" s="365"/>
      <c r="O314" s="341">
        <f t="shared" si="136"/>
        <v>0</v>
      </c>
      <c r="P314" s="360">
        <f t="shared" si="138"/>
        <v>0</v>
      </c>
      <c r="Q314" s="365">
        <f t="shared" si="139"/>
        <v>0</v>
      </c>
      <c r="AB314" s="362">
        <f>'PLANILHA GERAL'!$J$115</f>
        <v>8057.64</v>
      </c>
      <c r="AC314" s="362">
        <f t="shared" si="132"/>
        <v>0</v>
      </c>
      <c r="AE314" s="362">
        <f>'PLANILHA GERAL'!$J$117</f>
        <v>1983.39</v>
      </c>
      <c r="AF314" s="362">
        <f t="shared" si="133"/>
        <v>0</v>
      </c>
      <c r="AH314" s="362">
        <f>'PLANILHA GERAL'!$J$119</f>
        <v>8057.64</v>
      </c>
      <c r="AI314" s="362">
        <f t="shared" si="134"/>
        <v>0</v>
      </c>
      <c r="AK314" s="362">
        <f>'PLANILHA GERAL'!$I$116</f>
        <v>4369.08</v>
      </c>
      <c r="AL314" s="362">
        <f t="shared" si="135"/>
        <v>0</v>
      </c>
    </row>
    <row r="315" spans="1:38" ht="50.1" hidden="1" customHeight="1">
      <c r="A315" s="341">
        <f t="shared" si="137"/>
        <v>0</v>
      </c>
      <c r="B315" s="360"/>
      <c r="C315" s="1592"/>
      <c r="D315" s="1593"/>
      <c r="E315" s="1594"/>
      <c r="G315" s="341">
        <f t="shared" si="127"/>
        <v>0</v>
      </c>
      <c r="H315" s="360">
        <f t="shared" si="128"/>
        <v>0</v>
      </c>
      <c r="I315" s="365">
        <f t="shared" si="129"/>
        <v>0</v>
      </c>
      <c r="K315" s="341">
        <f t="shared" si="130"/>
        <v>0</v>
      </c>
      <c r="L315" s="360">
        <f t="shared" si="131"/>
        <v>0</v>
      </c>
      <c r="M315" s="365"/>
      <c r="O315" s="341">
        <f t="shared" si="136"/>
        <v>0</v>
      </c>
      <c r="P315" s="360">
        <f t="shared" si="138"/>
        <v>0</v>
      </c>
      <c r="Q315" s="365">
        <f t="shared" si="139"/>
        <v>0</v>
      </c>
      <c r="AB315" s="362">
        <f>'PLANILHA GERAL'!$J$115</f>
        <v>8057.64</v>
      </c>
      <c r="AC315" s="362">
        <f t="shared" si="132"/>
        <v>0</v>
      </c>
      <c r="AE315" s="362">
        <f>'PLANILHA GERAL'!$J$117</f>
        <v>1983.39</v>
      </c>
      <c r="AF315" s="362">
        <f t="shared" si="133"/>
        <v>0</v>
      </c>
      <c r="AH315" s="362">
        <f>'PLANILHA GERAL'!$J$119</f>
        <v>8057.64</v>
      </c>
      <c r="AI315" s="362">
        <f t="shared" si="134"/>
        <v>0</v>
      </c>
      <c r="AK315" s="362">
        <f>'PLANILHA GERAL'!$I$116</f>
        <v>4369.08</v>
      </c>
      <c r="AL315" s="362">
        <f t="shared" si="135"/>
        <v>0</v>
      </c>
    </row>
    <row r="316" spans="1:38" ht="50.1" hidden="1" customHeight="1">
      <c r="A316" s="341">
        <f t="shared" si="137"/>
        <v>0</v>
      </c>
      <c r="B316" s="360"/>
      <c r="C316" s="1592"/>
      <c r="D316" s="1593"/>
      <c r="E316" s="1594"/>
      <c r="G316" s="341">
        <f t="shared" si="127"/>
        <v>0</v>
      </c>
      <c r="H316" s="360">
        <f t="shared" si="128"/>
        <v>0</v>
      </c>
      <c r="I316" s="365">
        <f t="shared" si="129"/>
        <v>0</v>
      </c>
      <c r="K316" s="341">
        <f t="shared" si="130"/>
        <v>0</v>
      </c>
      <c r="L316" s="360">
        <f t="shared" si="131"/>
        <v>0</v>
      </c>
      <c r="M316" s="365"/>
      <c r="O316" s="341">
        <f t="shared" si="136"/>
        <v>0</v>
      </c>
      <c r="P316" s="360">
        <f t="shared" si="138"/>
        <v>0</v>
      </c>
      <c r="Q316" s="365">
        <f t="shared" si="139"/>
        <v>0</v>
      </c>
      <c r="AB316" s="362">
        <f>'PLANILHA GERAL'!$J$115</f>
        <v>8057.64</v>
      </c>
      <c r="AC316" s="362">
        <f t="shared" si="132"/>
        <v>0</v>
      </c>
      <c r="AE316" s="362">
        <f>'PLANILHA GERAL'!$J$117</f>
        <v>1983.39</v>
      </c>
      <c r="AF316" s="362">
        <f t="shared" si="133"/>
        <v>0</v>
      </c>
      <c r="AH316" s="362">
        <f>'PLANILHA GERAL'!$J$119</f>
        <v>8057.64</v>
      </c>
      <c r="AI316" s="362">
        <f t="shared" si="134"/>
        <v>0</v>
      </c>
      <c r="AK316" s="362">
        <f>'PLANILHA GERAL'!$I$116</f>
        <v>4369.08</v>
      </c>
      <c r="AL316" s="362">
        <f t="shared" si="135"/>
        <v>0</v>
      </c>
    </row>
    <row r="317" spans="1:38" ht="50.1" hidden="1" customHeight="1">
      <c r="A317" s="341">
        <f t="shared" si="137"/>
        <v>0</v>
      </c>
      <c r="B317" s="360">
        <f>DADOS!B21</f>
        <v>0</v>
      </c>
      <c r="C317" s="1592"/>
      <c r="D317" s="1593"/>
      <c r="E317" s="1594"/>
      <c r="G317" s="341">
        <f t="shared" si="127"/>
        <v>0</v>
      </c>
      <c r="H317" s="360">
        <f t="shared" si="128"/>
        <v>0</v>
      </c>
      <c r="I317" s="365">
        <f t="shared" si="129"/>
        <v>0</v>
      </c>
      <c r="K317" s="341">
        <f t="shared" si="130"/>
        <v>0</v>
      </c>
      <c r="L317" s="360">
        <f t="shared" si="131"/>
        <v>0</v>
      </c>
      <c r="M317" s="365"/>
      <c r="O317" s="341">
        <f t="shared" si="136"/>
        <v>0</v>
      </c>
      <c r="P317" s="360">
        <f t="shared" si="138"/>
        <v>0</v>
      </c>
      <c r="Q317" s="365">
        <f t="shared" si="139"/>
        <v>0</v>
      </c>
      <c r="AB317" s="362">
        <f>'PLANILHA GERAL'!$J$115</f>
        <v>8057.64</v>
      </c>
      <c r="AC317" s="362">
        <f t="shared" si="132"/>
        <v>0</v>
      </c>
      <c r="AE317" s="362">
        <f>'PLANILHA GERAL'!$J$117</f>
        <v>1983.39</v>
      </c>
      <c r="AF317" s="362">
        <f t="shared" si="133"/>
        <v>0</v>
      </c>
      <c r="AH317" s="362">
        <f>'PLANILHA GERAL'!$J$119</f>
        <v>8057.64</v>
      </c>
      <c r="AI317" s="362">
        <f t="shared" si="134"/>
        <v>0</v>
      </c>
      <c r="AK317" s="362">
        <f>'PLANILHA GERAL'!$I$116</f>
        <v>4369.08</v>
      </c>
      <c r="AL317" s="362">
        <f t="shared" si="135"/>
        <v>0</v>
      </c>
    </row>
    <row r="318" spans="1:38" ht="50.1" hidden="1" customHeight="1">
      <c r="A318" s="341">
        <f t="shared" si="137"/>
        <v>0</v>
      </c>
      <c r="B318" s="360">
        <f>DADOS!B22</f>
        <v>0</v>
      </c>
      <c r="C318" s="1592"/>
      <c r="D318" s="1593"/>
      <c r="E318" s="1594"/>
      <c r="G318" s="341">
        <f t="shared" si="127"/>
        <v>0</v>
      </c>
      <c r="H318" s="360">
        <f t="shared" si="128"/>
        <v>0</v>
      </c>
      <c r="I318" s="365">
        <f t="shared" si="129"/>
        <v>0</v>
      </c>
      <c r="K318" s="341">
        <f t="shared" si="130"/>
        <v>0</v>
      </c>
      <c r="L318" s="360">
        <f t="shared" si="131"/>
        <v>0</v>
      </c>
      <c r="M318" s="365"/>
      <c r="O318" s="341">
        <f t="shared" si="136"/>
        <v>0</v>
      </c>
      <c r="P318" s="360">
        <f t="shared" si="138"/>
        <v>0</v>
      </c>
      <c r="Q318" s="365">
        <f t="shared" si="139"/>
        <v>0</v>
      </c>
      <c r="AB318" s="362">
        <f>'PLANILHA GERAL'!$J$115</f>
        <v>8057.64</v>
      </c>
      <c r="AC318" s="362">
        <f t="shared" si="132"/>
        <v>0</v>
      </c>
      <c r="AE318" s="362">
        <f>'PLANILHA GERAL'!$J$117</f>
        <v>1983.39</v>
      </c>
      <c r="AF318" s="362">
        <f t="shared" si="133"/>
        <v>0</v>
      </c>
      <c r="AH318" s="362">
        <f>'PLANILHA GERAL'!$J$119</f>
        <v>8057.64</v>
      </c>
      <c r="AI318" s="362">
        <f t="shared" si="134"/>
        <v>0</v>
      </c>
      <c r="AK318" s="362">
        <f>'PLANILHA GERAL'!$I$116</f>
        <v>4369.08</v>
      </c>
      <c r="AL318" s="362">
        <f t="shared" si="135"/>
        <v>0</v>
      </c>
    </row>
    <row r="319" spans="1:38" ht="50.1" hidden="1" customHeight="1">
      <c r="A319" s="341">
        <f t="shared" si="137"/>
        <v>0</v>
      </c>
      <c r="B319" s="360">
        <f>DADOS!B23</f>
        <v>0</v>
      </c>
      <c r="C319" s="1592"/>
      <c r="D319" s="1593"/>
      <c r="E319" s="1594"/>
      <c r="G319" s="341">
        <f t="shared" si="127"/>
        <v>0</v>
      </c>
      <c r="H319" s="360">
        <f t="shared" si="128"/>
        <v>0</v>
      </c>
      <c r="I319" s="365">
        <f t="shared" si="129"/>
        <v>0</v>
      </c>
      <c r="K319" s="341">
        <f t="shared" si="130"/>
        <v>0</v>
      </c>
      <c r="L319" s="360">
        <f t="shared" si="131"/>
        <v>0</v>
      </c>
      <c r="M319" s="365"/>
      <c r="O319" s="341">
        <f t="shared" si="136"/>
        <v>0</v>
      </c>
      <c r="P319" s="360">
        <f t="shared" si="138"/>
        <v>0</v>
      </c>
      <c r="Q319" s="365">
        <f t="shared" si="139"/>
        <v>0</v>
      </c>
      <c r="AB319" s="362">
        <f>'PLANILHA GERAL'!$J$115</f>
        <v>8057.64</v>
      </c>
      <c r="AC319" s="362">
        <f t="shared" si="132"/>
        <v>0</v>
      </c>
      <c r="AE319" s="362">
        <f>'PLANILHA GERAL'!$J$117</f>
        <v>1983.39</v>
      </c>
      <c r="AF319" s="362">
        <f t="shared" si="133"/>
        <v>0</v>
      </c>
      <c r="AH319" s="362">
        <f>'PLANILHA GERAL'!$J$119</f>
        <v>8057.64</v>
      </c>
      <c r="AI319" s="362">
        <f t="shared" si="134"/>
        <v>0</v>
      </c>
      <c r="AK319" s="362">
        <f>'PLANILHA GERAL'!$I$116</f>
        <v>4369.08</v>
      </c>
      <c r="AL319" s="362">
        <f t="shared" si="135"/>
        <v>0</v>
      </c>
    </row>
    <row r="320" spans="1:38" ht="50.1" hidden="1" customHeight="1">
      <c r="A320" s="341">
        <f t="shared" si="137"/>
        <v>0</v>
      </c>
      <c r="B320" s="360">
        <f>DADOS!B24</f>
        <v>0</v>
      </c>
      <c r="C320" s="1592"/>
      <c r="D320" s="1593"/>
      <c r="E320" s="1594"/>
      <c r="G320" s="341">
        <f t="shared" si="127"/>
        <v>0</v>
      </c>
      <c r="H320" s="360">
        <f t="shared" si="128"/>
        <v>0</v>
      </c>
      <c r="I320" s="365">
        <f t="shared" si="129"/>
        <v>0</v>
      </c>
      <c r="K320" s="341">
        <f t="shared" si="130"/>
        <v>0</v>
      </c>
      <c r="L320" s="360">
        <f t="shared" si="131"/>
        <v>0</v>
      </c>
      <c r="M320" s="365"/>
      <c r="O320" s="341">
        <f t="shared" si="136"/>
        <v>0</v>
      </c>
      <c r="P320" s="360">
        <f t="shared" si="138"/>
        <v>0</v>
      </c>
      <c r="Q320" s="365">
        <f t="shared" si="139"/>
        <v>0</v>
      </c>
      <c r="AB320" s="362">
        <f>'PLANILHA GERAL'!$J$115</f>
        <v>8057.64</v>
      </c>
      <c r="AC320" s="362">
        <f t="shared" si="132"/>
        <v>0</v>
      </c>
      <c r="AE320" s="362">
        <f>'PLANILHA GERAL'!$J$117</f>
        <v>1983.39</v>
      </c>
      <c r="AF320" s="362">
        <f t="shared" si="133"/>
        <v>0</v>
      </c>
      <c r="AH320" s="362">
        <f>'PLANILHA GERAL'!$J$119</f>
        <v>8057.64</v>
      </c>
      <c r="AI320" s="362">
        <f t="shared" si="134"/>
        <v>0</v>
      </c>
      <c r="AK320" s="362">
        <f>'PLANILHA GERAL'!$I$116</f>
        <v>4369.08</v>
      </c>
      <c r="AL320" s="362">
        <f t="shared" si="135"/>
        <v>0</v>
      </c>
    </row>
    <row r="321" spans="1:38" ht="50.1" hidden="1" customHeight="1">
      <c r="A321" s="341">
        <f t="shared" si="137"/>
        <v>0</v>
      </c>
      <c r="B321" s="360">
        <f>DADOS!B25</f>
        <v>0</v>
      </c>
      <c r="C321" s="1592"/>
      <c r="D321" s="1593"/>
      <c r="E321" s="1594"/>
      <c r="G321" s="341">
        <f t="shared" si="127"/>
        <v>0</v>
      </c>
      <c r="H321" s="360">
        <f t="shared" si="128"/>
        <v>0</v>
      </c>
      <c r="I321" s="365">
        <f t="shared" si="129"/>
        <v>0</v>
      </c>
      <c r="K321" s="341">
        <f t="shared" si="130"/>
        <v>0</v>
      </c>
      <c r="L321" s="360">
        <f t="shared" si="131"/>
        <v>0</v>
      </c>
      <c r="M321" s="365"/>
      <c r="O321" s="341">
        <f t="shared" si="136"/>
        <v>0</v>
      </c>
      <c r="P321" s="360">
        <f t="shared" si="138"/>
        <v>0</v>
      </c>
      <c r="Q321" s="365">
        <f t="shared" si="139"/>
        <v>0</v>
      </c>
      <c r="AB321" s="362">
        <f>'PLANILHA GERAL'!$J$115</f>
        <v>8057.64</v>
      </c>
      <c r="AC321" s="362">
        <f t="shared" si="132"/>
        <v>0</v>
      </c>
      <c r="AE321" s="362">
        <f>'PLANILHA GERAL'!$J$117</f>
        <v>1983.39</v>
      </c>
      <c r="AF321" s="362">
        <f t="shared" si="133"/>
        <v>0</v>
      </c>
      <c r="AH321" s="362">
        <f>'PLANILHA GERAL'!$J$119</f>
        <v>8057.64</v>
      </c>
      <c r="AI321" s="362">
        <f t="shared" si="134"/>
        <v>0</v>
      </c>
      <c r="AK321" s="362">
        <f>'PLANILHA GERAL'!$I$116</f>
        <v>4369.08</v>
      </c>
      <c r="AL321" s="362">
        <f t="shared" si="135"/>
        <v>0</v>
      </c>
    </row>
    <row r="322" spans="1:38" ht="50.1" hidden="1" customHeight="1">
      <c r="A322" s="341">
        <f t="shared" si="137"/>
        <v>0</v>
      </c>
      <c r="B322" s="360">
        <f>DADOS!B26</f>
        <v>0</v>
      </c>
      <c r="C322" s="1592"/>
      <c r="D322" s="1593"/>
      <c r="E322" s="1594"/>
      <c r="G322" s="341">
        <f t="shared" si="127"/>
        <v>0</v>
      </c>
      <c r="H322" s="360">
        <f t="shared" si="128"/>
        <v>0</v>
      </c>
      <c r="I322" s="365">
        <f t="shared" si="129"/>
        <v>0</v>
      </c>
      <c r="K322" s="341">
        <f t="shared" si="130"/>
        <v>0</v>
      </c>
      <c r="L322" s="360">
        <f t="shared" si="131"/>
        <v>0</v>
      </c>
      <c r="M322" s="365"/>
      <c r="O322" s="341">
        <f t="shared" si="136"/>
        <v>0</v>
      </c>
      <c r="P322" s="360">
        <f t="shared" si="138"/>
        <v>0</v>
      </c>
      <c r="Q322" s="365">
        <f t="shared" si="139"/>
        <v>0</v>
      </c>
      <c r="AB322" s="362">
        <f>'PLANILHA GERAL'!$J$115</f>
        <v>8057.64</v>
      </c>
      <c r="AC322" s="362">
        <f t="shared" si="132"/>
        <v>0</v>
      </c>
      <c r="AE322" s="362">
        <f>'PLANILHA GERAL'!$J$117</f>
        <v>1983.39</v>
      </c>
      <c r="AF322" s="362">
        <f t="shared" si="133"/>
        <v>0</v>
      </c>
      <c r="AH322" s="362">
        <f>'PLANILHA GERAL'!$J$119</f>
        <v>8057.64</v>
      </c>
      <c r="AI322" s="362">
        <f t="shared" si="134"/>
        <v>0</v>
      </c>
      <c r="AK322" s="362">
        <f>'PLANILHA GERAL'!$I$116</f>
        <v>4369.08</v>
      </c>
      <c r="AL322" s="362">
        <f t="shared" si="135"/>
        <v>0</v>
      </c>
    </row>
    <row r="323" spans="1:38" ht="50.1" hidden="1" customHeight="1">
      <c r="A323" s="341">
        <f t="shared" si="137"/>
        <v>0</v>
      </c>
      <c r="B323" s="360">
        <f>DADOS!B27</f>
        <v>0</v>
      </c>
      <c r="C323" s="1592"/>
      <c r="D323" s="1593"/>
      <c r="E323" s="1594"/>
      <c r="G323" s="341">
        <f t="shared" si="127"/>
        <v>0</v>
      </c>
      <c r="H323" s="360">
        <f t="shared" si="128"/>
        <v>0</v>
      </c>
      <c r="I323" s="365">
        <f t="shared" si="129"/>
        <v>0</v>
      </c>
      <c r="K323" s="341">
        <f t="shared" si="130"/>
        <v>0</v>
      </c>
      <c r="L323" s="360">
        <f t="shared" si="131"/>
        <v>0</v>
      </c>
      <c r="M323" s="365"/>
      <c r="O323" s="341">
        <f t="shared" si="136"/>
        <v>0</v>
      </c>
      <c r="P323" s="360">
        <f t="shared" si="138"/>
        <v>0</v>
      </c>
      <c r="Q323" s="365">
        <f t="shared" si="139"/>
        <v>0</v>
      </c>
      <c r="AB323" s="362">
        <f>'PLANILHA GERAL'!$J$115</f>
        <v>8057.64</v>
      </c>
      <c r="AC323" s="362">
        <f t="shared" si="132"/>
        <v>0</v>
      </c>
      <c r="AE323" s="362">
        <f>'PLANILHA GERAL'!$J$117</f>
        <v>1983.39</v>
      </c>
      <c r="AF323" s="362">
        <f t="shared" si="133"/>
        <v>0</v>
      </c>
      <c r="AH323" s="362">
        <f>'PLANILHA GERAL'!$J$119</f>
        <v>8057.64</v>
      </c>
      <c r="AI323" s="362">
        <f t="shared" si="134"/>
        <v>0</v>
      </c>
      <c r="AK323" s="362">
        <f>'PLANILHA GERAL'!$I$116</f>
        <v>4369.08</v>
      </c>
      <c r="AL323" s="362">
        <f t="shared" si="135"/>
        <v>0</v>
      </c>
    </row>
    <row r="324" spans="1:38" ht="50.1" hidden="1" customHeight="1">
      <c r="A324" s="341">
        <f t="shared" si="137"/>
        <v>0</v>
      </c>
      <c r="B324" s="360">
        <f>DADOS!B28</f>
        <v>0</v>
      </c>
      <c r="C324" s="1592"/>
      <c r="D324" s="1593"/>
      <c r="E324" s="1594"/>
      <c r="G324" s="341">
        <f t="shared" si="127"/>
        <v>0</v>
      </c>
      <c r="H324" s="360">
        <f t="shared" si="128"/>
        <v>0</v>
      </c>
      <c r="I324" s="365">
        <f t="shared" si="129"/>
        <v>0</v>
      </c>
      <c r="K324" s="341">
        <f t="shared" si="130"/>
        <v>0</v>
      </c>
      <c r="L324" s="360">
        <f t="shared" si="131"/>
        <v>0</v>
      </c>
      <c r="M324" s="365"/>
      <c r="O324" s="341">
        <f t="shared" si="136"/>
        <v>0</v>
      </c>
      <c r="P324" s="360">
        <f t="shared" si="138"/>
        <v>0</v>
      </c>
      <c r="Q324" s="365">
        <f t="shared" si="139"/>
        <v>0</v>
      </c>
      <c r="AB324" s="362">
        <f>'PLANILHA GERAL'!$J$115</f>
        <v>8057.64</v>
      </c>
      <c r="AC324" s="362">
        <f t="shared" si="132"/>
        <v>0</v>
      </c>
      <c r="AE324" s="362">
        <f>'PLANILHA GERAL'!$J$117</f>
        <v>1983.39</v>
      </c>
      <c r="AF324" s="362">
        <f t="shared" si="133"/>
        <v>0</v>
      </c>
      <c r="AH324" s="362">
        <f>'PLANILHA GERAL'!$J$119</f>
        <v>8057.64</v>
      </c>
      <c r="AI324" s="362">
        <f t="shared" si="134"/>
        <v>0</v>
      </c>
      <c r="AK324" s="362">
        <f>'PLANILHA GERAL'!$I$116</f>
        <v>4369.08</v>
      </c>
      <c r="AL324" s="362">
        <f t="shared" si="135"/>
        <v>0</v>
      </c>
    </row>
    <row r="325" spans="1:38" ht="50.1" hidden="1" customHeight="1">
      <c r="A325" s="341">
        <f t="shared" si="137"/>
        <v>0</v>
      </c>
      <c r="B325" s="360">
        <f>DADOS!B29</f>
        <v>0</v>
      </c>
      <c r="C325" s="1592"/>
      <c r="D325" s="1593"/>
      <c r="E325" s="1594"/>
      <c r="G325" s="341">
        <f t="shared" si="127"/>
        <v>0</v>
      </c>
      <c r="H325" s="360">
        <f t="shared" si="128"/>
        <v>0</v>
      </c>
      <c r="I325" s="365">
        <f t="shared" si="129"/>
        <v>0</v>
      </c>
      <c r="K325" s="341">
        <f t="shared" si="130"/>
        <v>0</v>
      </c>
      <c r="L325" s="360">
        <f t="shared" si="131"/>
        <v>0</v>
      </c>
      <c r="M325" s="365"/>
      <c r="O325" s="341">
        <f t="shared" si="136"/>
        <v>0</v>
      </c>
      <c r="P325" s="360">
        <f t="shared" si="138"/>
        <v>0</v>
      </c>
      <c r="Q325" s="365">
        <f t="shared" si="139"/>
        <v>0</v>
      </c>
      <c r="AB325" s="362">
        <f>'PLANILHA GERAL'!$J$115</f>
        <v>8057.64</v>
      </c>
      <c r="AC325" s="362">
        <f t="shared" si="132"/>
        <v>0</v>
      </c>
      <c r="AE325" s="362">
        <f>'PLANILHA GERAL'!$J$117</f>
        <v>1983.39</v>
      </c>
      <c r="AF325" s="362">
        <f t="shared" si="133"/>
        <v>0</v>
      </c>
      <c r="AH325" s="362">
        <f>'PLANILHA GERAL'!$J$119</f>
        <v>8057.64</v>
      </c>
      <c r="AI325" s="362">
        <f t="shared" si="134"/>
        <v>0</v>
      </c>
      <c r="AK325" s="362">
        <f>'PLANILHA GERAL'!$I$116</f>
        <v>4369.08</v>
      </c>
      <c r="AL325" s="362">
        <f t="shared" si="135"/>
        <v>0</v>
      </c>
    </row>
    <row r="326" spans="1:38" ht="50.1" hidden="1" customHeight="1">
      <c r="A326" s="341">
        <f t="shared" si="137"/>
        <v>0</v>
      </c>
      <c r="B326" s="360">
        <f>DADOS!B30</f>
        <v>0</v>
      </c>
      <c r="C326" s="1592"/>
      <c r="D326" s="1593"/>
      <c r="E326" s="1594"/>
      <c r="G326" s="341">
        <f t="shared" si="127"/>
        <v>0</v>
      </c>
      <c r="H326" s="360">
        <f t="shared" si="128"/>
        <v>0</v>
      </c>
      <c r="I326" s="365">
        <f t="shared" si="129"/>
        <v>0</v>
      </c>
      <c r="K326" s="341">
        <f t="shared" si="130"/>
        <v>0</v>
      </c>
      <c r="L326" s="360">
        <f t="shared" si="131"/>
        <v>0</v>
      </c>
      <c r="M326" s="365"/>
      <c r="O326" s="341">
        <f t="shared" si="136"/>
        <v>0</v>
      </c>
      <c r="P326" s="360">
        <f t="shared" si="138"/>
        <v>0</v>
      </c>
      <c r="Q326" s="365">
        <f t="shared" si="139"/>
        <v>0</v>
      </c>
      <c r="AB326" s="362">
        <f>'PLANILHA GERAL'!$J$115</f>
        <v>8057.64</v>
      </c>
      <c r="AC326" s="362">
        <f t="shared" si="132"/>
        <v>0</v>
      </c>
      <c r="AE326" s="362">
        <f>'PLANILHA GERAL'!$J$117</f>
        <v>1983.39</v>
      </c>
      <c r="AF326" s="362">
        <f t="shared" si="133"/>
        <v>0</v>
      </c>
      <c r="AH326" s="362">
        <f>'PLANILHA GERAL'!$J$119</f>
        <v>8057.64</v>
      </c>
      <c r="AI326" s="362">
        <f t="shared" si="134"/>
        <v>0</v>
      </c>
      <c r="AK326" s="362">
        <f>'PLANILHA GERAL'!$I$116</f>
        <v>4369.08</v>
      </c>
      <c r="AL326" s="362">
        <f t="shared" si="135"/>
        <v>0</v>
      </c>
    </row>
    <row r="327" spans="1:38" ht="50.1" hidden="1" customHeight="1">
      <c r="A327" s="341">
        <f t="shared" si="137"/>
        <v>0</v>
      </c>
      <c r="B327" s="360">
        <f>DADOS!B31</f>
        <v>0</v>
      </c>
      <c r="C327" s="1592"/>
      <c r="D327" s="1593"/>
      <c r="E327" s="1594"/>
      <c r="G327" s="341">
        <f t="shared" si="127"/>
        <v>0</v>
      </c>
      <c r="H327" s="360">
        <f t="shared" si="128"/>
        <v>0</v>
      </c>
      <c r="I327" s="365">
        <f t="shared" si="129"/>
        <v>0</v>
      </c>
      <c r="K327" s="341">
        <f t="shared" si="130"/>
        <v>0</v>
      </c>
      <c r="L327" s="360">
        <f t="shared" si="131"/>
        <v>0</v>
      </c>
      <c r="M327" s="365"/>
      <c r="O327" s="341">
        <f t="shared" si="136"/>
        <v>0</v>
      </c>
      <c r="P327" s="360">
        <f t="shared" si="138"/>
        <v>0</v>
      </c>
      <c r="Q327" s="365">
        <f t="shared" si="139"/>
        <v>0</v>
      </c>
      <c r="AB327" s="362">
        <f>'PLANILHA GERAL'!$J$115</f>
        <v>8057.64</v>
      </c>
      <c r="AC327" s="362">
        <f t="shared" si="132"/>
        <v>0</v>
      </c>
      <c r="AE327" s="362">
        <f>'PLANILHA GERAL'!$J$117</f>
        <v>1983.39</v>
      </c>
      <c r="AF327" s="362">
        <f t="shared" si="133"/>
        <v>0</v>
      </c>
      <c r="AH327" s="362">
        <f>'PLANILHA GERAL'!$J$119</f>
        <v>8057.64</v>
      </c>
      <c r="AI327" s="362">
        <f t="shared" si="134"/>
        <v>0</v>
      </c>
      <c r="AK327" s="362">
        <f>'PLANILHA GERAL'!$I$116</f>
        <v>4369.08</v>
      </c>
      <c r="AL327" s="362">
        <f t="shared" si="135"/>
        <v>0</v>
      </c>
    </row>
    <row r="328" spans="1:38" ht="50.1" hidden="1" customHeight="1">
      <c r="A328" s="341">
        <f t="shared" si="137"/>
        <v>0</v>
      </c>
      <c r="B328" s="360">
        <f>DADOS!B32</f>
        <v>0</v>
      </c>
      <c r="C328" s="1592"/>
      <c r="D328" s="1593"/>
      <c r="E328" s="1594"/>
      <c r="G328" s="341">
        <f t="shared" si="127"/>
        <v>0</v>
      </c>
      <c r="H328" s="360">
        <f t="shared" si="128"/>
        <v>0</v>
      </c>
      <c r="I328" s="365">
        <f t="shared" si="129"/>
        <v>0</v>
      </c>
      <c r="K328" s="341">
        <f t="shared" si="130"/>
        <v>0</v>
      </c>
      <c r="L328" s="360">
        <f t="shared" si="131"/>
        <v>0</v>
      </c>
      <c r="M328" s="365"/>
      <c r="O328" s="341">
        <f t="shared" si="136"/>
        <v>0</v>
      </c>
      <c r="P328" s="360">
        <f t="shared" si="138"/>
        <v>0</v>
      </c>
      <c r="Q328" s="365">
        <f t="shared" si="139"/>
        <v>0</v>
      </c>
      <c r="AB328" s="362">
        <f>'PLANILHA GERAL'!$J$115</f>
        <v>8057.64</v>
      </c>
      <c r="AC328" s="362">
        <f t="shared" ref="AC328:AC343" si="140">C328*AB328</f>
        <v>0</v>
      </c>
      <c r="AE328" s="362">
        <f>'PLANILHA GERAL'!$J$117</f>
        <v>1983.39</v>
      </c>
      <c r="AF328" s="362">
        <f t="shared" si="133"/>
        <v>0</v>
      </c>
      <c r="AH328" s="362">
        <f>'PLANILHA GERAL'!$J$119</f>
        <v>8057.64</v>
      </c>
      <c r="AI328" s="362">
        <f t="shared" si="134"/>
        <v>0</v>
      </c>
      <c r="AK328" s="362">
        <f>'PLANILHA GERAL'!$I$116</f>
        <v>4369.08</v>
      </c>
      <c r="AL328" s="362">
        <f t="shared" si="135"/>
        <v>0</v>
      </c>
    </row>
    <row r="329" spans="1:38" ht="50.1" hidden="1" customHeight="1">
      <c r="A329" s="341">
        <f t="shared" si="137"/>
        <v>0</v>
      </c>
      <c r="B329" s="360">
        <f>DADOS!B33</f>
        <v>0</v>
      </c>
      <c r="C329" s="1592"/>
      <c r="D329" s="1593"/>
      <c r="E329" s="1594"/>
      <c r="G329" s="341">
        <f t="shared" si="127"/>
        <v>0</v>
      </c>
      <c r="H329" s="360">
        <f t="shared" si="128"/>
        <v>0</v>
      </c>
      <c r="I329" s="365">
        <f t="shared" si="129"/>
        <v>0</v>
      </c>
      <c r="K329" s="341">
        <f t="shared" si="130"/>
        <v>0</v>
      </c>
      <c r="L329" s="360">
        <f t="shared" si="131"/>
        <v>0</v>
      </c>
      <c r="M329" s="365"/>
      <c r="O329" s="341">
        <f t="shared" si="136"/>
        <v>0</v>
      </c>
      <c r="P329" s="360">
        <f t="shared" si="138"/>
        <v>0</v>
      </c>
      <c r="Q329" s="365">
        <f t="shared" si="139"/>
        <v>0</v>
      </c>
      <c r="AB329" s="362">
        <f>'PLANILHA GERAL'!$J$115</f>
        <v>8057.64</v>
      </c>
      <c r="AC329" s="362">
        <f t="shared" si="140"/>
        <v>0</v>
      </c>
      <c r="AE329" s="362">
        <f>'PLANILHA GERAL'!$J$117</f>
        <v>1983.39</v>
      </c>
      <c r="AF329" s="362">
        <f t="shared" si="133"/>
        <v>0</v>
      </c>
      <c r="AH329" s="362">
        <f>'PLANILHA GERAL'!$J$119</f>
        <v>8057.64</v>
      </c>
      <c r="AI329" s="362">
        <f t="shared" si="134"/>
        <v>0</v>
      </c>
      <c r="AK329" s="362">
        <f>'PLANILHA GERAL'!$I$116</f>
        <v>4369.08</v>
      </c>
      <c r="AL329" s="362">
        <f t="shared" si="135"/>
        <v>0</v>
      </c>
    </row>
    <row r="330" spans="1:38" ht="50.1" hidden="1" customHeight="1">
      <c r="A330" s="341">
        <f t="shared" si="137"/>
        <v>0</v>
      </c>
      <c r="B330" s="360">
        <f>DADOS!B34</f>
        <v>0</v>
      </c>
      <c r="C330" s="1592"/>
      <c r="D330" s="1593"/>
      <c r="E330" s="1594"/>
      <c r="G330" s="341">
        <f t="shared" si="127"/>
        <v>0</v>
      </c>
      <c r="H330" s="360">
        <f t="shared" si="128"/>
        <v>0</v>
      </c>
      <c r="I330" s="365">
        <f t="shared" si="129"/>
        <v>0</v>
      </c>
      <c r="K330" s="341">
        <f t="shared" si="130"/>
        <v>0</v>
      </c>
      <c r="L330" s="360">
        <f t="shared" si="131"/>
        <v>0</v>
      </c>
      <c r="M330" s="365"/>
      <c r="O330" s="341">
        <f t="shared" si="136"/>
        <v>0</v>
      </c>
      <c r="P330" s="360">
        <f t="shared" si="138"/>
        <v>0</v>
      </c>
      <c r="Q330" s="365">
        <f t="shared" si="139"/>
        <v>0</v>
      </c>
      <c r="AB330" s="362">
        <f>'PLANILHA GERAL'!$J$115</f>
        <v>8057.64</v>
      </c>
      <c r="AC330" s="362">
        <f t="shared" si="140"/>
        <v>0</v>
      </c>
      <c r="AE330" s="362">
        <f>'PLANILHA GERAL'!$J$117</f>
        <v>1983.39</v>
      </c>
      <c r="AF330" s="362">
        <f t="shared" si="133"/>
        <v>0</v>
      </c>
      <c r="AH330" s="362">
        <f>'PLANILHA GERAL'!$J$119</f>
        <v>8057.64</v>
      </c>
      <c r="AI330" s="362">
        <f t="shared" si="134"/>
        <v>0</v>
      </c>
      <c r="AK330" s="362">
        <f>'PLANILHA GERAL'!$I$116</f>
        <v>4369.08</v>
      </c>
      <c r="AL330" s="362">
        <f t="shared" si="135"/>
        <v>0</v>
      </c>
    </row>
    <row r="331" spans="1:38" ht="50.1" hidden="1" customHeight="1">
      <c r="A331" s="341">
        <f t="shared" si="137"/>
        <v>0</v>
      </c>
      <c r="B331" s="360">
        <f>DADOS!B35</f>
        <v>0</v>
      </c>
      <c r="C331" s="1592"/>
      <c r="D331" s="1593"/>
      <c r="E331" s="1594"/>
      <c r="G331" s="341">
        <f t="shared" si="127"/>
        <v>0</v>
      </c>
      <c r="H331" s="360">
        <f t="shared" si="128"/>
        <v>0</v>
      </c>
      <c r="I331" s="365">
        <f t="shared" si="129"/>
        <v>0</v>
      </c>
      <c r="K331" s="341">
        <f t="shared" si="130"/>
        <v>0</v>
      </c>
      <c r="L331" s="360">
        <f t="shared" si="131"/>
        <v>0</v>
      </c>
      <c r="M331" s="365"/>
      <c r="O331" s="341">
        <f t="shared" si="136"/>
        <v>0</v>
      </c>
      <c r="P331" s="360">
        <f t="shared" si="138"/>
        <v>0</v>
      </c>
      <c r="Q331" s="365">
        <f t="shared" si="139"/>
        <v>0</v>
      </c>
      <c r="AB331" s="362">
        <f>'PLANILHA GERAL'!$J$115</f>
        <v>8057.64</v>
      </c>
      <c r="AC331" s="362">
        <f t="shared" si="140"/>
        <v>0</v>
      </c>
      <c r="AE331" s="362">
        <f>'PLANILHA GERAL'!$J$117</f>
        <v>1983.39</v>
      </c>
      <c r="AF331" s="362">
        <f t="shared" si="133"/>
        <v>0</v>
      </c>
      <c r="AH331" s="362">
        <f>'PLANILHA GERAL'!$J$119</f>
        <v>8057.64</v>
      </c>
      <c r="AI331" s="362">
        <f t="shared" si="134"/>
        <v>0</v>
      </c>
      <c r="AK331" s="362">
        <f>'PLANILHA GERAL'!$I$116</f>
        <v>4369.08</v>
      </c>
      <c r="AL331" s="362">
        <f t="shared" si="135"/>
        <v>0</v>
      </c>
    </row>
    <row r="332" spans="1:38" ht="50.1" hidden="1" customHeight="1">
      <c r="A332" s="341">
        <f t="shared" si="137"/>
        <v>0</v>
      </c>
      <c r="B332" s="360">
        <f>DADOS!B36</f>
        <v>0</v>
      </c>
      <c r="C332" s="1592"/>
      <c r="D332" s="1593"/>
      <c r="E332" s="1594"/>
      <c r="G332" s="341">
        <f t="shared" si="127"/>
        <v>0</v>
      </c>
      <c r="H332" s="360">
        <f t="shared" si="128"/>
        <v>0</v>
      </c>
      <c r="I332" s="365">
        <f t="shared" si="129"/>
        <v>0</v>
      </c>
      <c r="K332" s="341">
        <f t="shared" si="130"/>
        <v>0</v>
      </c>
      <c r="L332" s="360">
        <f t="shared" si="131"/>
        <v>0</v>
      </c>
      <c r="M332" s="365"/>
      <c r="O332" s="341">
        <f t="shared" si="136"/>
        <v>0</v>
      </c>
      <c r="P332" s="360">
        <f t="shared" si="138"/>
        <v>0</v>
      </c>
      <c r="Q332" s="365">
        <f t="shared" si="139"/>
        <v>0</v>
      </c>
      <c r="AB332" s="362">
        <f>'PLANILHA GERAL'!$J$115</f>
        <v>8057.64</v>
      </c>
      <c r="AC332" s="362">
        <f t="shared" si="140"/>
        <v>0</v>
      </c>
      <c r="AE332" s="362">
        <f>'PLANILHA GERAL'!$J$117</f>
        <v>1983.39</v>
      </c>
      <c r="AF332" s="362">
        <f t="shared" si="133"/>
        <v>0</v>
      </c>
      <c r="AH332" s="362">
        <f>'PLANILHA GERAL'!$J$119</f>
        <v>8057.64</v>
      </c>
      <c r="AI332" s="362">
        <f t="shared" si="134"/>
        <v>0</v>
      </c>
      <c r="AK332" s="362">
        <f>'PLANILHA GERAL'!$I$116</f>
        <v>4369.08</v>
      </c>
      <c r="AL332" s="362">
        <f t="shared" si="135"/>
        <v>0</v>
      </c>
    </row>
    <row r="333" spans="1:38" ht="50.1" hidden="1" customHeight="1">
      <c r="A333" s="341">
        <f t="shared" si="137"/>
        <v>0</v>
      </c>
      <c r="B333" s="360">
        <f>DADOS!B37</f>
        <v>0</v>
      </c>
      <c r="C333" s="1592"/>
      <c r="D333" s="1593"/>
      <c r="E333" s="1594"/>
      <c r="G333" s="341">
        <f t="shared" si="127"/>
        <v>0</v>
      </c>
      <c r="H333" s="360">
        <f t="shared" si="128"/>
        <v>0</v>
      </c>
      <c r="I333" s="365">
        <f t="shared" si="129"/>
        <v>0</v>
      </c>
      <c r="K333" s="341">
        <f t="shared" si="130"/>
        <v>0</v>
      </c>
      <c r="L333" s="360">
        <f t="shared" si="131"/>
        <v>0</v>
      </c>
      <c r="M333" s="365"/>
      <c r="O333" s="341">
        <f t="shared" si="136"/>
        <v>0</v>
      </c>
      <c r="P333" s="360">
        <f t="shared" si="138"/>
        <v>0</v>
      </c>
      <c r="Q333" s="365">
        <f t="shared" si="139"/>
        <v>0</v>
      </c>
      <c r="AB333" s="362">
        <f>'PLANILHA GERAL'!$J$115</f>
        <v>8057.64</v>
      </c>
      <c r="AC333" s="362">
        <f t="shared" si="140"/>
        <v>0</v>
      </c>
      <c r="AE333" s="362">
        <f>'PLANILHA GERAL'!$J$117</f>
        <v>1983.39</v>
      </c>
      <c r="AF333" s="362">
        <f t="shared" si="133"/>
        <v>0</v>
      </c>
      <c r="AH333" s="362">
        <f>'PLANILHA GERAL'!$J$119</f>
        <v>8057.64</v>
      </c>
      <c r="AI333" s="362">
        <f t="shared" si="134"/>
        <v>0</v>
      </c>
      <c r="AK333" s="362">
        <f>'PLANILHA GERAL'!$I$116</f>
        <v>4369.08</v>
      </c>
      <c r="AL333" s="362">
        <f t="shared" si="135"/>
        <v>0</v>
      </c>
    </row>
    <row r="334" spans="1:38" ht="50.1" hidden="1" customHeight="1">
      <c r="A334" s="341">
        <f t="shared" si="137"/>
        <v>0</v>
      </c>
      <c r="B334" s="360">
        <f>DADOS!B38</f>
        <v>0</v>
      </c>
      <c r="C334" s="1592"/>
      <c r="D334" s="1593"/>
      <c r="E334" s="1594"/>
      <c r="G334" s="341">
        <f t="shared" si="127"/>
        <v>0</v>
      </c>
      <c r="H334" s="360">
        <f t="shared" si="128"/>
        <v>0</v>
      </c>
      <c r="I334" s="365">
        <f t="shared" si="129"/>
        <v>0</v>
      </c>
      <c r="K334" s="341">
        <f t="shared" si="130"/>
        <v>0</v>
      </c>
      <c r="L334" s="360">
        <f t="shared" si="131"/>
        <v>0</v>
      </c>
      <c r="M334" s="365"/>
      <c r="O334" s="341">
        <f t="shared" si="136"/>
        <v>0</v>
      </c>
      <c r="P334" s="360">
        <f t="shared" si="138"/>
        <v>0</v>
      </c>
      <c r="Q334" s="365">
        <f t="shared" si="139"/>
        <v>0</v>
      </c>
      <c r="AB334" s="362">
        <f>'PLANILHA GERAL'!$J$115</f>
        <v>8057.64</v>
      </c>
      <c r="AC334" s="362">
        <f t="shared" si="140"/>
        <v>0</v>
      </c>
      <c r="AE334" s="362">
        <f>'PLANILHA GERAL'!$J$117</f>
        <v>1983.39</v>
      </c>
      <c r="AF334" s="362">
        <f t="shared" si="133"/>
        <v>0</v>
      </c>
      <c r="AH334" s="362">
        <f>'PLANILHA GERAL'!$J$119</f>
        <v>8057.64</v>
      </c>
      <c r="AI334" s="362">
        <f t="shared" si="134"/>
        <v>0</v>
      </c>
      <c r="AK334" s="362">
        <f>'PLANILHA GERAL'!$I$116</f>
        <v>4369.08</v>
      </c>
      <c r="AL334" s="362">
        <f t="shared" si="135"/>
        <v>0</v>
      </c>
    </row>
    <row r="335" spans="1:38" ht="50.1" hidden="1" customHeight="1">
      <c r="A335" s="341">
        <f t="shared" si="137"/>
        <v>0</v>
      </c>
      <c r="B335" s="360">
        <f>DADOS!B39</f>
        <v>0</v>
      </c>
      <c r="C335" s="1592"/>
      <c r="D335" s="1593"/>
      <c r="E335" s="1594"/>
      <c r="G335" s="341">
        <f t="shared" si="127"/>
        <v>0</v>
      </c>
      <c r="H335" s="360">
        <f t="shared" si="128"/>
        <v>0</v>
      </c>
      <c r="I335" s="365">
        <f t="shared" si="129"/>
        <v>0</v>
      </c>
      <c r="K335" s="341">
        <f t="shared" si="130"/>
        <v>0</v>
      </c>
      <c r="L335" s="360">
        <f t="shared" si="131"/>
        <v>0</v>
      </c>
      <c r="M335" s="365"/>
      <c r="O335" s="341">
        <f t="shared" si="136"/>
        <v>0</v>
      </c>
      <c r="P335" s="360">
        <f t="shared" si="138"/>
        <v>0</v>
      </c>
      <c r="Q335" s="365">
        <f t="shared" si="139"/>
        <v>0</v>
      </c>
      <c r="AB335" s="362">
        <f>'PLANILHA GERAL'!$J$115</f>
        <v>8057.64</v>
      </c>
      <c r="AC335" s="362">
        <f t="shared" si="140"/>
        <v>0</v>
      </c>
      <c r="AE335" s="362">
        <f>'PLANILHA GERAL'!$J$117</f>
        <v>1983.39</v>
      </c>
      <c r="AF335" s="362">
        <f t="shared" si="133"/>
        <v>0</v>
      </c>
      <c r="AH335" s="362">
        <f>'PLANILHA GERAL'!$J$119</f>
        <v>8057.64</v>
      </c>
      <c r="AI335" s="362">
        <f t="shared" si="134"/>
        <v>0</v>
      </c>
      <c r="AK335" s="362">
        <f>'PLANILHA GERAL'!$I$116</f>
        <v>4369.08</v>
      </c>
      <c r="AL335" s="362">
        <f t="shared" si="135"/>
        <v>0</v>
      </c>
    </row>
    <row r="336" spans="1:38" ht="50.1" hidden="1" customHeight="1">
      <c r="A336" s="341">
        <f t="shared" si="137"/>
        <v>0</v>
      </c>
      <c r="B336" s="360">
        <f>DADOS!B40</f>
        <v>0</v>
      </c>
      <c r="C336" s="1592"/>
      <c r="D336" s="1593"/>
      <c r="E336" s="1594"/>
      <c r="G336" s="341">
        <f t="shared" si="127"/>
        <v>0</v>
      </c>
      <c r="H336" s="360">
        <f t="shared" si="128"/>
        <v>0</v>
      </c>
      <c r="I336" s="365">
        <f t="shared" si="129"/>
        <v>0</v>
      </c>
      <c r="K336" s="341">
        <f t="shared" si="130"/>
        <v>0</v>
      </c>
      <c r="L336" s="360">
        <f t="shared" si="131"/>
        <v>0</v>
      </c>
      <c r="M336" s="365"/>
      <c r="O336" s="341">
        <f t="shared" si="136"/>
        <v>0</v>
      </c>
      <c r="P336" s="360">
        <f t="shared" si="138"/>
        <v>0</v>
      </c>
      <c r="Q336" s="365">
        <f t="shared" si="139"/>
        <v>0</v>
      </c>
      <c r="AB336" s="362">
        <f>'PLANILHA GERAL'!$J$115</f>
        <v>8057.64</v>
      </c>
      <c r="AC336" s="362">
        <f t="shared" si="140"/>
        <v>0</v>
      </c>
      <c r="AE336" s="362">
        <f>'PLANILHA GERAL'!$J$117</f>
        <v>1983.39</v>
      </c>
      <c r="AF336" s="362">
        <f t="shared" si="133"/>
        <v>0</v>
      </c>
      <c r="AH336" s="362">
        <f>'PLANILHA GERAL'!$J$119</f>
        <v>8057.64</v>
      </c>
      <c r="AI336" s="362">
        <f t="shared" si="134"/>
        <v>0</v>
      </c>
      <c r="AK336" s="362">
        <f>'PLANILHA GERAL'!$I$116</f>
        <v>4369.08</v>
      </c>
      <c r="AL336" s="362">
        <f t="shared" si="135"/>
        <v>0</v>
      </c>
    </row>
    <row r="337" spans="1:38" ht="50.1" hidden="1" customHeight="1">
      <c r="A337" s="341">
        <f t="shared" si="137"/>
        <v>0</v>
      </c>
      <c r="B337" s="360">
        <f>DADOS!B41</f>
        <v>0</v>
      </c>
      <c r="C337" s="1592"/>
      <c r="D337" s="1593"/>
      <c r="E337" s="1594"/>
      <c r="G337" s="341">
        <f t="shared" si="127"/>
        <v>0</v>
      </c>
      <c r="H337" s="360">
        <f t="shared" si="128"/>
        <v>0</v>
      </c>
      <c r="I337" s="365">
        <f t="shared" si="129"/>
        <v>0</v>
      </c>
      <c r="K337" s="341">
        <f t="shared" si="130"/>
        <v>0</v>
      </c>
      <c r="L337" s="360">
        <f t="shared" si="131"/>
        <v>0</v>
      </c>
      <c r="M337" s="365"/>
      <c r="O337" s="341">
        <f t="shared" si="136"/>
        <v>0</v>
      </c>
      <c r="P337" s="360">
        <f t="shared" si="138"/>
        <v>0</v>
      </c>
      <c r="Q337" s="365">
        <f t="shared" si="139"/>
        <v>0</v>
      </c>
      <c r="AB337" s="362">
        <f>'PLANILHA GERAL'!$J$115</f>
        <v>8057.64</v>
      </c>
      <c r="AC337" s="362">
        <f t="shared" si="140"/>
        <v>0</v>
      </c>
      <c r="AE337" s="362">
        <f>'PLANILHA GERAL'!$J$117</f>
        <v>1983.39</v>
      </c>
      <c r="AF337" s="362">
        <f t="shared" si="133"/>
        <v>0</v>
      </c>
      <c r="AH337" s="362">
        <f>'PLANILHA GERAL'!$J$119</f>
        <v>8057.64</v>
      </c>
      <c r="AI337" s="362">
        <f t="shared" si="134"/>
        <v>0</v>
      </c>
      <c r="AK337" s="362">
        <f>'PLANILHA GERAL'!$I$116</f>
        <v>4369.08</v>
      </c>
      <c r="AL337" s="362">
        <f t="shared" si="135"/>
        <v>0</v>
      </c>
    </row>
    <row r="338" spans="1:38" ht="50.1" hidden="1" customHeight="1">
      <c r="A338" s="341">
        <f t="shared" si="137"/>
        <v>0</v>
      </c>
      <c r="B338" s="360">
        <f>DADOS!B42</f>
        <v>0</v>
      </c>
      <c r="C338" s="1592"/>
      <c r="D338" s="1593"/>
      <c r="E338" s="1594"/>
      <c r="G338" s="341">
        <f t="shared" si="127"/>
        <v>0</v>
      </c>
      <c r="H338" s="360">
        <f t="shared" si="128"/>
        <v>0</v>
      </c>
      <c r="I338" s="365">
        <f t="shared" si="129"/>
        <v>0</v>
      </c>
      <c r="K338" s="341">
        <f t="shared" si="130"/>
        <v>0</v>
      </c>
      <c r="L338" s="360">
        <f t="shared" si="131"/>
        <v>0</v>
      </c>
      <c r="M338" s="365"/>
      <c r="O338" s="341">
        <f t="shared" si="136"/>
        <v>0</v>
      </c>
      <c r="P338" s="360">
        <f t="shared" si="138"/>
        <v>0</v>
      </c>
      <c r="Q338" s="365">
        <f t="shared" si="139"/>
        <v>0</v>
      </c>
      <c r="AB338" s="362">
        <f>'PLANILHA GERAL'!$J$115</f>
        <v>8057.64</v>
      </c>
      <c r="AC338" s="362">
        <f t="shared" si="140"/>
        <v>0</v>
      </c>
      <c r="AE338" s="362">
        <f>'PLANILHA GERAL'!$J$117</f>
        <v>1983.39</v>
      </c>
      <c r="AF338" s="362">
        <f t="shared" si="133"/>
        <v>0</v>
      </c>
      <c r="AH338" s="362">
        <f>'PLANILHA GERAL'!$J$119</f>
        <v>8057.64</v>
      </c>
      <c r="AI338" s="362">
        <f t="shared" si="134"/>
        <v>0</v>
      </c>
      <c r="AK338" s="362">
        <f>'PLANILHA GERAL'!$I$116</f>
        <v>4369.08</v>
      </c>
      <c r="AL338" s="362">
        <f t="shared" si="135"/>
        <v>0</v>
      </c>
    </row>
    <row r="339" spans="1:38" ht="50.1" hidden="1" customHeight="1">
      <c r="A339" s="341">
        <f t="shared" si="137"/>
        <v>0</v>
      </c>
      <c r="B339" s="360">
        <f>DADOS!B43</f>
        <v>0</v>
      </c>
      <c r="C339" s="1592"/>
      <c r="D339" s="1593"/>
      <c r="E339" s="1594"/>
      <c r="G339" s="341">
        <f t="shared" si="127"/>
        <v>0</v>
      </c>
      <c r="H339" s="360">
        <f t="shared" si="128"/>
        <v>0</v>
      </c>
      <c r="I339" s="365">
        <f t="shared" si="129"/>
        <v>0</v>
      </c>
      <c r="K339" s="341">
        <f t="shared" si="130"/>
        <v>0</v>
      </c>
      <c r="L339" s="360">
        <f t="shared" si="131"/>
        <v>0</v>
      </c>
      <c r="M339" s="365"/>
      <c r="O339" s="341">
        <f t="shared" si="136"/>
        <v>0</v>
      </c>
      <c r="P339" s="360">
        <f t="shared" si="138"/>
        <v>0</v>
      </c>
      <c r="Q339" s="365">
        <f t="shared" si="139"/>
        <v>0</v>
      </c>
      <c r="AB339" s="362">
        <f>'PLANILHA GERAL'!$J$115</f>
        <v>8057.64</v>
      </c>
      <c r="AC339" s="362">
        <f t="shared" si="140"/>
        <v>0</v>
      </c>
      <c r="AE339" s="362">
        <f>'PLANILHA GERAL'!$J$117</f>
        <v>1983.39</v>
      </c>
      <c r="AF339" s="362">
        <f t="shared" si="133"/>
        <v>0</v>
      </c>
      <c r="AH339" s="362">
        <f>'PLANILHA GERAL'!$J$119</f>
        <v>8057.64</v>
      </c>
      <c r="AI339" s="362">
        <f t="shared" si="134"/>
        <v>0</v>
      </c>
      <c r="AK339" s="362">
        <f>'PLANILHA GERAL'!$I$116</f>
        <v>4369.08</v>
      </c>
      <c r="AL339" s="362">
        <f t="shared" si="135"/>
        <v>0</v>
      </c>
    </row>
    <row r="340" spans="1:38" ht="50.1" hidden="1" customHeight="1">
      <c r="A340" s="341">
        <f t="shared" si="137"/>
        <v>0</v>
      </c>
      <c r="B340" s="360">
        <f>DADOS!B44</f>
        <v>0</v>
      </c>
      <c r="C340" s="1592"/>
      <c r="D340" s="1593"/>
      <c r="E340" s="1594"/>
      <c r="G340" s="341">
        <f t="shared" si="127"/>
        <v>0</v>
      </c>
      <c r="H340" s="360">
        <f t="shared" si="128"/>
        <v>0</v>
      </c>
      <c r="I340" s="365">
        <f t="shared" si="129"/>
        <v>0</v>
      </c>
      <c r="K340" s="341">
        <f t="shared" si="130"/>
        <v>0</v>
      </c>
      <c r="L340" s="360">
        <f t="shared" si="131"/>
        <v>0</v>
      </c>
      <c r="M340" s="365"/>
      <c r="O340" s="341">
        <f t="shared" si="136"/>
        <v>0</v>
      </c>
      <c r="P340" s="360">
        <f t="shared" si="138"/>
        <v>0</v>
      </c>
      <c r="Q340" s="365">
        <f t="shared" si="139"/>
        <v>0</v>
      </c>
      <c r="AB340" s="362">
        <f>'PLANILHA GERAL'!$J$115</f>
        <v>8057.64</v>
      </c>
      <c r="AC340" s="362">
        <f t="shared" si="140"/>
        <v>0</v>
      </c>
      <c r="AE340" s="362">
        <f>'PLANILHA GERAL'!$J$117</f>
        <v>1983.39</v>
      </c>
      <c r="AF340" s="362">
        <f t="shared" si="133"/>
        <v>0</v>
      </c>
      <c r="AH340" s="362">
        <f>'PLANILHA GERAL'!$J$119</f>
        <v>8057.64</v>
      </c>
      <c r="AI340" s="362">
        <f t="shared" si="134"/>
        <v>0</v>
      </c>
      <c r="AK340" s="362">
        <f>'PLANILHA GERAL'!$I$116</f>
        <v>4369.08</v>
      </c>
      <c r="AL340" s="362">
        <f t="shared" si="135"/>
        <v>0</v>
      </c>
    </row>
    <row r="341" spans="1:38" ht="50.1" hidden="1" customHeight="1">
      <c r="A341" s="341">
        <f t="shared" si="137"/>
        <v>0</v>
      </c>
      <c r="B341" s="360">
        <f>DADOS!B45</f>
        <v>0</v>
      </c>
      <c r="C341" s="1592"/>
      <c r="D341" s="1593"/>
      <c r="E341" s="1594"/>
      <c r="G341" s="341">
        <f t="shared" si="127"/>
        <v>0</v>
      </c>
      <c r="H341" s="360">
        <f t="shared" si="128"/>
        <v>0</v>
      </c>
      <c r="I341" s="365">
        <f t="shared" si="129"/>
        <v>0</v>
      </c>
      <c r="K341" s="341">
        <f t="shared" si="130"/>
        <v>0</v>
      </c>
      <c r="L341" s="360">
        <f t="shared" si="131"/>
        <v>0</v>
      </c>
      <c r="M341" s="365"/>
      <c r="O341" s="341">
        <f t="shared" si="136"/>
        <v>0</v>
      </c>
      <c r="P341" s="360">
        <f t="shared" si="138"/>
        <v>0</v>
      </c>
      <c r="Q341" s="365">
        <f t="shared" si="139"/>
        <v>0</v>
      </c>
      <c r="AB341" s="362">
        <f>'PLANILHA GERAL'!$J$115</f>
        <v>8057.64</v>
      </c>
      <c r="AC341" s="362">
        <f t="shared" si="140"/>
        <v>0</v>
      </c>
      <c r="AE341" s="362">
        <f>'PLANILHA GERAL'!$J$117</f>
        <v>1983.39</v>
      </c>
      <c r="AF341" s="362">
        <f t="shared" si="133"/>
        <v>0</v>
      </c>
      <c r="AH341" s="362">
        <f>'PLANILHA GERAL'!$J$119</f>
        <v>8057.64</v>
      </c>
      <c r="AI341" s="362">
        <f t="shared" si="134"/>
        <v>0</v>
      </c>
      <c r="AK341" s="362">
        <f>'PLANILHA GERAL'!$I$116</f>
        <v>4369.08</v>
      </c>
      <c r="AL341" s="362">
        <f t="shared" si="135"/>
        <v>0</v>
      </c>
    </row>
    <row r="342" spans="1:38" ht="50.1" hidden="1" customHeight="1">
      <c r="A342" s="341">
        <f t="shared" si="137"/>
        <v>0</v>
      </c>
      <c r="B342" s="360">
        <f>DADOS!B46</f>
        <v>0</v>
      </c>
      <c r="C342" s="1592"/>
      <c r="D342" s="1593"/>
      <c r="E342" s="1594"/>
      <c r="G342" s="341">
        <f t="shared" si="127"/>
        <v>0</v>
      </c>
      <c r="H342" s="360">
        <f t="shared" si="128"/>
        <v>0</v>
      </c>
      <c r="I342" s="365">
        <f t="shared" si="129"/>
        <v>0</v>
      </c>
      <c r="K342" s="341">
        <f t="shared" si="130"/>
        <v>0</v>
      </c>
      <c r="L342" s="360">
        <f t="shared" si="131"/>
        <v>0</v>
      </c>
      <c r="M342" s="365"/>
      <c r="O342" s="341">
        <f t="shared" si="136"/>
        <v>0</v>
      </c>
      <c r="P342" s="360">
        <f t="shared" si="138"/>
        <v>0</v>
      </c>
      <c r="Q342" s="365">
        <f t="shared" si="139"/>
        <v>0</v>
      </c>
      <c r="AB342" s="362">
        <f>'PLANILHA GERAL'!$J$115</f>
        <v>8057.64</v>
      </c>
      <c r="AC342" s="362">
        <f t="shared" si="140"/>
        <v>0</v>
      </c>
      <c r="AE342" s="362">
        <f>'PLANILHA GERAL'!$J$117</f>
        <v>1983.39</v>
      </c>
      <c r="AF342" s="362">
        <f t="shared" si="133"/>
        <v>0</v>
      </c>
      <c r="AH342" s="362">
        <f>'PLANILHA GERAL'!$J$119</f>
        <v>8057.64</v>
      </c>
      <c r="AI342" s="362">
        <f t="shared" si="134"/>
        <v>0</v>
      </c>
      <c r="AK342" s="362">
        <f>'PLANILHA GERAL'!$I$116</f>
        <v>4369.08</v>
      </c>
      <c r="AL342" s="362">
        <f t="shared" si="135"/>
        <v>0</v>
      </c>
    </row>
    <row r="343" spans="1:38" ht="50.1" hidden="1" customHeight="1">
      <c r="A343" s="341">
        <f t="shared" si="137"/>
        <v>0</v>
      </c>
      <c r="B343" s="360">
        <f>DADOS!B47</f>
        <v>0</v>
      </c>
      <c r="C343" s="1592"/>
      <c r="D343" s="1593"/>
      <c r="E343" s="1594"/>
      <c r="G343" s="341">
        <f t="shared" si="127"/>
        <v>0</v>
      </c>
      <c r="H343" s="360">
        <f t="shared" si="128"/>
        <v>0</v>
      </c>
      <c r="I343" s="365">
        <f t="shared" si="129"/>
        <v>0</v>
      </c>
      <c r="K343" s="341">
        <f t="shared" si="130"/>
        <v>0</v>
      </c>
      <c r="L343" s="360">
        <f t="shared" si="131"/>
        <v>0</v>
      </c>
      <c r="M343" s="365"/>
      <c r="O343" s="341">
        <f t="shared" si="136"/>
        <v>0</v>
      </c>
      <c r="P343" s="360">
        <f t="shared" si="138"/>
        <v>0</v>
      </c>
      <c r="Q343" s="365">
        <f t="shared" si="139"/>
        <v>0</v>
      </c>
      <c r="AB343" s="362">
        <f>'PLANILHA GERAL'!$J$115</f>
        <v>8057.64</v>
      </c>
      <c r="AC343" s="362">
        <f t="shared" si="140"/>
        <v>0</v>
      </c>
      <c r="AE343" s="362">
        <f>'PLANILHA GERAL'!$J$117</f>
        <v>1983.39</v>
      </c>
      <c r="AF343" s="362">
        <f t="shared" si="133"/>
        <v>0</v>
      </c>
      <c r="AH343" s="362">
        <f>'PLANILHA GERAL'!$J$119</f>
        <v>8057.64</v>
      </c>
      <c r="AI343" s="362">
        <f t="shared" si="134"/>
        <v>0</v>
      </c>
      <c r="AK343" s="362">
        <f>'PLANILHA GERAL'!$I$116</f>
        <v>4369.08</v>
      </c>
      <c r="AL343" s="362">
        <f t="shared" si="135"/>
        <v>0</v>
      </c>
    </row>
    <row r="344" spans="1:38" ht="50.1" hidden="1" customHeight="1">
      <c r="A344" s="341">
        <f t="shared" si="137"/>
        <v>0</v>
      </c>
      <c r="B344" s="360">
        <f>DADOS!B48</f>
        <v>0</v>
      </c>
      <c r="C344" s="1592"/>
      <c r="D344" s="1593"/>
      <c r="E344" s="1594"/>
      <c r="G344" s="341">
        <f t="shared" si="127"/>
        <v>0</v>
      </c>
      <c r="H344" s="360">
        <f t="shared" si="128"/>
        <v>0</v>
      </c>
      <c r="I344" s="365">
        <f t="shared" si="129"/>
        <v>0</v>
      </c>
      <c r="K344" s="341">
        <f t="shared" si="130"/>
        <v>0</v>
      </c>
      <c r="L344" s="360">
        <f t="shared" si="131"/>
        <v>0</v>
      </c>
      <c r="M344" s="365"/>
      <c r="O344" s="341">
        <f t="shared" si="136"/>
        <v>0</v>
      </c>
      <c r="P344" s="360">
        <f t="shared" si="138"/>
        <v>0</v>
      </c>
      <c r="Q344" s="365">
        <f t="shared" si="139"/>
        <v>0</v>
      </c>
      <c r="AB344" s="362">
        <f>'PLANILHA GERAL'!$J$115</f>
        <v>8057.64</v>
      </c>
      <c r="AC344" s="362">
        <f>C344*AB344</f>
        <v>0</v>
      </c>
      <c r="AE344" s="362">
        <f>'PLANILHA GERAL'!$J$117</f>
        <v>1983.39</v>
      </c>
      <c r="AF344" s="362">
        <f t="shared" si="133"/>
        <v>0</v>
      </c>
      <c r="AH344" s="362">
        <f>'PLANILHA GERAL'!$J$119</f>
        <v>8057.64</v>
      </c>
      <c r="AI344" s="362">
        <f t="shared" si="134"/>
        <v>0</v>
      </c>
      <c r="AK344" s="362">
        <f>'PLANILHA GERAL'!$I$116</f>
        <v>4369.08</v>
      </c>
      <c r="AL344" s="362">
        <f t="shared" si="135"/>
        <v>0</v>
      </c>
    </row>
    <row r="345" spans="1:38" ht="50.1" hidden="1" customHeight="1">
      <c r="A345" s="341">
        <f t="shared" si="137"/>
        <v>0</v>
      </c>
      <c r="B345" s="360">
        <f>DADOS!B49</f>
        <v>0</v>
      </c>
      <c r="C345" s="1592"/>
      <c r="D345" s="1593"/>
      <c r="E345" s="1594"/>
      <c r="G345" s="341">
        <f t="shared" si="127"/>
        <v>0</v>
      </c>
      <c r="H345" s="360">
        <f t="shared" si="128"/>
        <v>0</v>
      </c>
      <c r="I345" s="365">
        <f t="shared" si="129"/>
        <v>0</v>
      </c>
      <c r="K345" s="341">
        <f t="shared" si="130"/>
        <v>0</v>
      </c>
      <c r="L345" s="360">
        <f t="shared" si="131"/>
        <v>0</v>
      </c>
      <c r="M345" s="365"/>
      <c r="O345" s="341">
        <f t="shared" si="136"/>
        <v>0</v>
      </c>
      <c r="P345" s="360">
        <f t="shared" si="138"/>
        <v>0</v>
      </c>
      <c r="Q345" s="365">
        <f t="shared" si="139"/>
        <v>0</v>
      </c>
      <c r="AB345" s="362">
        <f>'PLANILHA GERAL'!$J$115</f>
        <v>8057.64</v>
      </c>
      <c r="AC345" s="362">
        <f>C345*AB345</f>
        <v>0</v>
      </c>
      <c r="AE345" s="362">
        <f>'PLANILHA GERAL'!$J$117</f>
        <v>1983.39</v>
      </c>
      <c r="AF345" s="362">
        <f t="shared" si="133"/>
        <v>0</v>
      </c>
      <c r="AH345" s="362">
        <f>'PLANILHA GERAL'!$J$119</f>
        <v>8057.64</v>
      </c>
      <c r="AI345" s="362">
        <f t="shared" si="134"/>
        <v>0</v>
      </c>
      <c r="AK345" s="362">
        <f>'PLANILHA GERAL'!$I$116</f>
        <v>4369.08</v>
      </c>
      <c r="AL345" s="362">
        <f t="shared" si="135"/>
        <v>0</v>
      </c>
    </row>
    <row r="346" spans="1:38" ht="50.1" hidden="1" customHeight="1">
      <c r="A346" s="341"/>
      <c r="B346" s="360"/>
      <c r="C346" s="616"/>
      <c r="D346" s="617"/>
      <c r="E346" s="618"/>
      <c r="G346" s="341"/>
      <c r="H346" s="360"/>
      <c r="I346" s="365"/>
      <c r="K346" s="341"/>
      <c r="L346" s="360"/>
      <c r="M346" s="365"/>
      <c r="O346" s="341"/>
      <c r="P346" s="360"/>
      <c r="Q346" s="365"/>
      <c r="AB346" s="364"/>
      <c r="AC346" s="364"/>
      <c r="AE346" s="364"/>
      <c r="AF346" s="364"/>
      <c r="AH346" s="364"/>
      <c r="AI346" s="364"/>
      <c r="AK346" s="364"/>
      <c r="AL346" s="364"/>
    </row>
    <row r="347" spans="1:38" ht="50.1" customHeight="1">
      <c r="A347" s="1640" t="s">
        <v>22</v>
      </c>
      <c r="B347" s="1640"/>
      <c r="C347" s="1625">
        <f>SUM(C308:E345)</f>
        <v>63</v>
      </c>
      <c r="D347" s="1625"/>
      <c r="E347" s="1625"/>
      <c r="G347" s="1590" t="s">
        <v>22</v>
      </c>
      <c r="H347" s="1591"/>
      <c r="I347" s="363">
        <f>SUM(I308:I345)</f>
        <v>63</v>
      </c>
      <c r="K347" s="1590" t="s">
        <v>22</v>
      </c>
      <c r="L347" s="1591"/>
      <c r="M347" s="363">
        <f>SUM(M308:M345)</f>
        <v>0</v>
      </c>
      <c r="O347" s="1590" t="s">
        <v>22</v>
      </c>
      <c r="P347" s="1591"/>
      <c r="Q347" s="363">
        <f>SUM(Q308:Q345)</f>
        <v>184</v>
      </c>
    </row>
    <row r="348" spans="1:38" ht="50.1" customHeight="1"/>
    <row r="349" spans="1:38" ht="50.1" customHeight="1"/>
    <row r="350" spans="1:38" ht="50.1" customHeight="1"/>
    <row r="351" spans="1:38" ht="50.1" customHeight="1"/>
    <row r="352" spans="1:38" ht="50.1" customHeight="1"/>
    <row r="353" ht="50.1" customHeight="1"/>
    <row r="354" ht="50.1" customHeight="1"/>
    <row r="355" ht="50.1" customHeight="1"/>
  </sheetData>
  <sheetProtection formatCells="0" formatColumns="0" formatRows="0" insertColumns="0" insertRows="0" insertHyperlinks="0" deleteColumns="0" deleteRows="0"/>
  <mergeCells count="215">
    <mergeCell ref="A304:B304"/>
    <mergeCell ref="C218:E218"/>
    <mergeCell ref="C219:E219"/>
    <mergeCell ref="C261:E261"/>
    <mergeCell ref="C270:E270"/>
    <mergeCell ref="C278:E278"/>
    <mergeCell ref="C273:E273"/>
    <mergeCell ref="C274:E274"/>
    <mergeCell ref="C277:E277"/>
    <mergeCell ref="A212:E212"/>
    <mergeCell ref="C214:E214"/>
    <mergeCell ref="C272:E272"/>
    <mergeCell ref="C268:E268"/>
    <mergeCell ref="C269:E269"/>
    <mergeCell ref="Q101:Q103"/>
    <mergeCell ref="C262:E262"/>
    <mergeCell ref="F185:H186"/>
    <mergeCell ref="K185:K187"/>
    <mergeCell ref="C266:E266"/>
    <mergeCell ref="C267:E267"/>
    <mergeCell ref="I185:I187"/>
    <mergeCell ref="C213:E213"/>
    <mergeCell ref="C275:E275"/>
    <mergeCell ref="C339:E339"/>
    <mergeCell ref="C340:E340"/>
    <mergeCell ref="C7:Q7"/>
    <mergeCell ref="A210:B210"/>
    <mergeCell ref="A184:Q184"/>
    <mergeCell ref="A185:A189"/>
    <mergeCell ref="B185:B189"/>
    <mergeCell ref="C185:E186"/>
    <mergeCell ref="P185:P187"/>
    <mergeCell ref="Q185:Q187"/>
    <mergeCell ref="J185:J187"/>
    <mergeCell ref="A182:B182"/>
    <mergeCell ref="B157:B161"/>
    <mergeCell ref="C157:E158"/>
    <mergeCell ref="F157:H158"/>
    <mergeCell ref="K157:K159"/>
    <mergeCell ref="O157:O158"/>
    <mergeCell ref="M157:M159"/>
    <mergeCell ref="N157:N158"/>
    <mergeCell ref="A157:A161"/>
    <mergeCell ref="J157:J159"/>
    <mergeCell ref="I58:I60"/>
    <mergeCell ref="A57:Q57"/>
    <mergeCell ref="F58:H59"/>
    <mergeCell ref="P101:P103"/>
    <mergeCell ref="C58:E59"/>
    <mergeCell ref="A3:Q3"/>
    <mergeCell ref="C327:E327"/>
    <mergeCell ref="A347:B347"/>
    <mergeCell ref="C347:E347"/>
    <mergeCell ref="C325:E325"/>
    <mergeCell ref="C322:E322"/>
    <mergeCell ref="C323:E323"/>
    <mergeCell ref="C333:E333"/>
    <mergeCell ref="C334:E334"/>
    <mergeCell ref="C335:E335"/>
    <mergeCell ref="C336:E336"/>
    <mergeCell ref="C328:E328"/>
    <mergeCell ref="C329:E329"/>
    <mergeCell ref="C330:E330"/>
    <mergeCell ref="C331:E331"/>
    <mergeCell ref="C332:E332"/>
    <mergeCell ref="C326:E326"/>
    <mergeCell ref="C343:E343"/>
    <mergeCell ref="C344:E344"/>
    <mergeCell ref="C345:E345"/>
    <mergeCell ref="C337:E337"/>
    <mergeCell ref="C338:E338"/>
    <mergeCell ref="A98:B98"/>
    <mergeCell ref="L58:L60"/>
    <mergeCell ref="C341:E341"/>
    <mergeCell ref="A4:Q4"/>
    <mergeCell ref="A5:Q5"/>
    <mergeCell ref="A9:Q9"/>
    <mergeCell ref="A11:Q11"/>
    <mergeCell ref="P129:P131"/>
    <mergeCell ref="I12:I14"/>
    <mergeCell ref="A10:Q10"/>
    <mergeCell ref="A12:A16"/>
    <mergeCell ref="B12:B16"/>
    <mergeCell ref="C12:E13"/>
    <mergeCell ref="F12:H13"/>
    <mergeCell ref="P12:P14"/>
    <mergeCell ref="Q12:Q14"/>
    <mergeCell ref="J12:J14"/>
    <mergeCell ref="K12:K14"/>
    <mergeCell ref="L12:L14"/>
    <mergeCell ref="M12:M14"/>
    <mergeCell ref="N12:N13"/>
    <mergeCell ref="O12:O13"/>
    <mergeCell ref="A55:B55"/>
    <mergeCell ref="J101:J103"/>
    <mergeCell ref="C307:E307"/>
    <mergeCell ref="A306:E306"/>
    <mergeCell ref="C318:E318"/>
    <mergeCell ref="C310:E310"/>
    <mergeCell ref="C315:E315"/>
    <mergeCell ref="C320:E320"/>
    <mergeCell ref="C321:E321"/>
    <mergeCell ref="C309:E309"/>
    <mergeCell ref="C308:E308"/>
    <mergeCell ref="C311:E311"/>
    <mergeCell ref="C312:E312"/>
    <mergeCell ref="C313:E313"/>
    <mergeCell ref="C314:E314"/>
    <mergeCell ref="A126:B126"/>
    <mergeCell ref="F129:H130"/>
    <mergeCell ref="K129:K131"/>
    <mergeCell ref="J58:J60"/>
    <mergeCell ref="A100:Q100"/>
    <mergeCell ref="J129:J131"/>
    <mergeCell ref="A101:A105"/>
    <mergeCell ref="C302:E302"/>
    <mergeCell ref="L157:L159"/>
    <mergeCell ref="I157:I159"/>
    <mergeCell ref="L101:L103"/>
    <mergeCell ref="C101:E102"/>
    <mergeCell ref="K101:K103"/>
    <mergeCell ref="B101:B105"/>
    <mergeCell ref="I101:I103"/>
    <mergeCell ref="Q58:Q60"/>
    <mergeCell ref="A58:A62"/>
    <mergeCell ref="B58:B62"/>
    <mergeCell ref="F101:H102"/>
    <mergeCell ref="O58:O59"/>
    <mergeCell ref="M101:M103"/>
    <mergeCell ref="P58:P60"/>
    <mergeCell ref="N101:N102"/>
    <mergeCell ref="O101:O102"/>
    <mergeCell ref="AE212:AF212"/>
    <mergeCell ref="AB306:AC306"/>
    <mergeCell ref="Q157:Q159"/>
    <mergeCell ref="M185:M187"/>
    <mergeCell ref="N185:N186"/>
    <mergeCell ref="AH212:AI212"/>
    <mergeCell ref="O185:O186"/>
    <mergeCell ref="L185:L187"/>
    <mergeCell ref="P157:P159"/>
    <mergeCell ref="K212:M212"/>
    <mergeCell ref="K306:M306"/>
    <mergeCell ref="S15:AC15"/>
    <mergeCell ref="S61:AC61"/>
    <mergeCell ref="S104:AC104"/>
    <mergeCell ref="AE306:AF306"/>
    <mergeCell ref="S132:AC132"/>
    <mergeCell ref="S160:AC160"/>
    <mergeCell ref="S188:AC188"/>
    <mergeCell ref="M58:M60"/>
    <mergeCell ref="N58:N59"/>
    <mergeCell ref="A128:Q128"/>
    <mergeCell ref="I129:I131"/>
    <mergeCell ref="K58:K60"/>
    <mergeCell ref="A156:Q156"/>
    <mergeCell ref="A154:B154"/>
    <mergeCell ref="L129:L131"/>
    <mergeCell ref="A129:A133"/>
    <mergeCell ref="B129:B133"/>
    <mergeCell ref="AB212:AC212"/>
    <mergeCell ref="M129:M131"/>
    <mergeCell ref="N129:N130"/>
    <mergeCell ref="O129:O130"/>
    <mergeCell ref="Q129:Q131"/>
    <mergeCell ref="C129:E130"/>
    <mergeCell ref="C215:E215"/>
    <mergeCell ref="AK306:AL306"/>
    <mergeCell ref="C279:E279"/>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AH306:AI306"/>
    <mergeCell ref="G306:I306"/>
    <mergeCell ref="G212:I212"/>
    <mergeCell ref="O306:Q306"/>
    <mergeCell ref="G304:H304"/>
    <mergeCell ref="G347:H347"/>
    <mergeCell ref="K347:L347"/>
    <mergeCell ref="K304:L304"/>
    <mergeCell ref="O347:P347"/>
    <mergeCell ref="C342:E342"/>
    <mergeCell ref="C303:E303"/>
    <mergeCell ref="C276:E276"/>
    <mergeCell ref="C265:E265"/>
    <mergeCell ref="C263:E263"/>
    <mergeCell ref="C264:E264"/>
    <mergeCell ref="C271:E271"/>
    <mergeCell ref="C301:E301"/>
    <mergeCell ref="C216:E216"/>
    <mergeCell ref="C217:E217"/>
    <mergeCell ref="C260:E260"/>
    <mergeCell ref="C316:E316"/>
    <mergeCell ref="C324:E324"/>
    <mergeCell ref="C319:E319"/>
    <mergeCell ref="C317:E317"/>
    <mergeCell ref="C304:E304"/>
  </mergeCells>
  <conditionalFormatting sqref="A17:A54">
    <cfRule type="cellIs" dxfId="56" priority="654" operator="equal">
      <formula>0</formula>
    </cfRule>
  </conditionalFormatting>
  <conditionalFormatting sqref="A17:A55">
    <cfRule type="cellIs" dxfId="55" priority="653" operator="equal">
      <formula>0</formula>
    </cfRule>
  </conditionalFormatting>
  <conditionalFormatting sqref="A63:A97">
    <cfRule type="cellIs" dxfId="54" priority="28" operator="equal">
      <formula>0</formula>
    </cfRule>
  </conditionalFormatting>
  <conditionalFormatting sqref="A63:A98">
    <cfRule type="cellIs" dxfId="53" priority="27" operator="equal">
      <formula>0</formula>
    </cfRule>
  </conditionalFormatting>
  <conditionalFormatting sqref="A106:A125">
    <cfRule type="cellIs" dxfId="52" priority="524" operator="equal">
      <formula>0</formula>
    </cfRule>
  </conditionalFormatting>
  <conditionalFormatting sqref="A106:A126">
    <cfRule type="cellIs" dxfId="51" priority="523" operator="equal">
      <formula>0</formula>
    </cfRule>
  </conditionalFormatting>
  <conditionalFormatting sqref="A126">
    <cfRule type="cellIs" dxfId="50" priority="526" stopIfTrue="1" operator="equal">
      <formula>0</formula>
    </cfRule>
  </conditionalFormatting>
  <conditionalFormatting sqref="A134:A135 A137:A153">
    <cfRule type="cellIs" dxfId="49" priority="516" operator="equal">
      <formula>0</formula>
    </cfRule>
  </conditionalFormatting>
  <conditionalFormatting sqref="A134:A135 A137:A154">
    <cfRule type="cellIs" dxfId="48" priority="515" operator="equal">
      <formula>0</formula>
    </cfRule>
  </conditionalFormatting>
  <conditionalFormatting sqref="A154">
    <cfRule type="cellIs" dxfId="47" priority="518" stopIfTrue="1" operator="equal">
      <formula>0</formula>
    </cfRule>
  </conditionalFormatting>
  <conditionalFormatting sqref="A162:A181">
    <cfRule type="cellIs" dxfId="46" priority="364" operator="equal">
      <formula>0</formula>
    </cfRule>
  </conditionalFormatting>
  <conditionalFormatting sqref="A162:A182">
    <cfRule type="cellIs" dxfId="45" priority="363" operator="equal">
      <formula>0</formula>
    </cfRule>
  </conditionalFormatting>
  <conditionalFormatting sqref="A182">
    <cfRule type="cellIs" dxfId="44" priority="366" stopIfTrue="1" operator="equal">
      <formula>0</formula>
    </cfRule>
  </conditionalFormatting>
  <conditionalFormatting sqref="A190:A209">
    <cfRule type="cellIs" dxfId="43" priority="340" operator="equal">
      <formula>0</formula>
    </cfRule>
  </conditionalFormatting>
  <conditionalFormatting sqref="A190:A210">
    <cfRule type="cellIs" dxfId="42" priority="339" operator="equal">
      <formula>0</formula>
    </cfRule>
  </conditionalFormatting>
  <conditionalFormatting sqref="A210">
    <cfRule type="cellIs" dxfId="41" priority="342" stopIfTrue="1" operator="equal">
      <formula>0</formula>
    </cfRule>
  </conditionalFormatting>
  <conditionalFormatting sqref="B63 A98 B65:B97">
    <cfRule type="cellIs" dxfId="40" priority="534" stopIfTrue="1" operator="equal">
      <formula>0</formula>
    </cfRule>
  </conditionalFormatting>
  <conditionalFormatting sqref="B63 B65:B97">
    <cfRule type="cellIs" dxfId="39" priority="533" operator="equal">
      <formula>0</formula>
    </cfRule>
  </conditionalFormatting>
  <conditionalFormatting sqref="B17:R54">
    <cfRule type="cellIs" dxfId="38" priority="137" operator="equal">
      <formula>0</formula>
    </cfRule>
    <cfRule type="cellIs" dxfId="37" priority="138" stopIfTrue="1" operator="equal">
      <formula>0</formula>
    </cfRule>
  </conditionalFormatting>
  <conditionalFormatting sqref="B106:R107 B109:R125 C108:R108">
    <cfRule type="cellIs" dxfId="36" priority="41" operator="equal">
      <formula>0</formula>
    </cfRule>
    <cfRule type="cellIs" dxfId="35" priority="42" stopIfTrue="1" operator="equal">
      <formula>0</formula>
    </cfRule>
  </conditionalFormatting>
  <conditionalFormatting sqref="B134:R135 B137:R153 C136:R136">
    <cfRule type="cellIs" dxfId="34" priority="39" operator="equal">
      <formula>0</formula>
    </cfRule>
    <cfRule type="cellIs" dxfId="33" priority="40" stopIfTrue="1" operator="equal">
      <formula>0</formula>
    </cfRule>
  </conditionalFormatting>
  <conditionalFormatting sqref="B162:R181">
    <cfRule type="cellIs" dxfId="32" priority="37" operator="equal">
      <formula>0</formula>
    </cfRule>
    <cfRule type="cellIs" dxfId="31" priority="38" stopIfTrue="1" operator="equal">
      <formula>0</formula>
    </cfRule>
  </conditionalFormatting>
  <conditionalFormatting sqref="B190:R209">
    <cfRule type="cellIs" dxfId="30" priority="35" operator="equal">
      <formula>0</formula>
    </cfRule>
    <cfRule type="cellIs" dxfId="29" priority="36" stopIfTrue="1" operator="equal">
      <formula>0</formula>
    </cfRule>
  </conditionalFormatting>
  <conditionalFormatting sqref="C55:R55 C126:R126 C154:R154 C182:R182 C210:R210 A55">
    <cfRule type="cellIs" dxfId="28" priority="656" stopIfTrue="1" operator="equal">
      <formula>0</formula>
    </cfRule>
  </conditionalFormatting>
  <conditionalFormatting sqref="C55:R55 C126:R126 C154:R154 C182:R182 C210:R210">
    <cfRule type="cellIs" dxfId="27" priority="655" operator="equal">
      <formula>0</formula>
    </cfRule>
  </conditionalFormatting>
  <conditionalFormatting sqref="C63:R98">
    <cfRule type="cellIs" dxfId="26" priority="13" operator="equal">
      <formula>0</formula>
    </cfRule>
    <cfRule type="cellIs" dxfId="25" priority="14" stopIfTrue="1" operator="equal">
      <formula>0</formula>
    </cfRule>
  </conditionalFormatting>
  <conditionalFormatting sqref="B64">
    <cfRule type="cellIs" dxfId="24" priority="11" operator="equal">
      <formula>0</formula>
    </cfRule>
    <cfRule type="cellIs" dxfId="23" priority="12" stopIfTrue="1" operator="equal">
      <formula>0</formula>
    </cfRule>
  </conditionalFormatting>
  <conditionalFormatting sqref="B108">
    <cfRule type="cellIs" dxfId="22" priority="9" operator="equal">
      <formula>0</formula>
    </cfRule>
    <cfRule type="cellIs" dxfId="21" priority="10" stopIfTrue="1" operator="equal">
      <formula>0</formula>
    </cfRule>
  </conditionalFormatting>
  <conditionalFormatting sqref="A136">
    <cfRule type="cellIs" dxfId="20" priority="8" operator="equal">
      <formula>0</formula>
    </cfRule>
  </conditionalFormatting>
  <conditionalFormatting sqref="A136">
    <cfRule type="cellIs" dxfId="19" priority="7" operator="equal">
      <formula>0</formula>
    </cfRule>
  </conditionalFormatting>
  <conditionalFormatting sqref="B136">
    <cfRule type="cellIs" dxfId="18" priority="5" operator="equal">
      <formula>0</formula>
    </cfRule>
    <cfRule type="cellIs" dxfId="17" priority="6" stopIfTrue="1" operator="equal">
      <formula>0</formula>
    </cfRule>
  </conditionalFormatting>
  <conditionalFormatting sqref="B215">
    <cfRule type="cellIs" dxfId="16" priority="3" operator="equal">
      <formula>0</formula>
    </cfRule>
    <cfRule type="cellIs" dxfId="15" priority="4" stopIfTrue="1" operator="equal">
      <formula>0</formula>
    </cfRule>
  </conditionalFormatting>
  <conditionalFormatting sqref="B309">
    <cfRule type="cellIs" dxfId="14" priority="1" operator="equal">
      <formula>0</formula>
    </cfRule>
    <cfRule type="cellIs" dxfId="13" priority="2" stopIfTrue="1" operator="equal">
      <formula>0</formula>
    </cfRule>
  </conditionalFormatting>
  <printOptions horizontalCentered="1"/>
  <pageMargins left="0.51181102362204722" right="0.51181102362204722" top="0.78740157480314965" bottom="0.78740157480314965" header="0.31496062992125984" footer="0.31496062992125984"/>
  <pageSetup paperSize="9" scale="25" fitToHeight="0" orientation="landscape"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78CE-BDFD-4A75-BE46-E4FE0ABD777D}">
  <sheetPr codeName="Planilha11">
    <tabColor theme="7" tint="0.39997558519241921"/>
    <pageSetUpPr fitToPage="1"/>
  </sheetPr>
  <dimension ref="A1:H39"/>
  <sheetViews>
    <sheetView showGridLines="0" view="pageBreakPreview" topLeftCell="A19" zoomScaleNormal="85" zoomScaleSheetLayoutView="100" workbookViewId="0">
      <selection activeCell="A5" sqref="A1:F5"/>
    </sheetView>
  </sheetViews>
  <sheetFormatPr defaultColWidth="9.140625" defaultRowHeight="15"/>
  <cols>
    <col min="1" max="1" width="11.42578125" style="1157" bestFit="1" customWidth="1"/>
    <col min="2" max="2" width="43.28515625" style="1156" customWidth="1"/>
    <col min="3" max="3" width="8.42578125" style="1158" customWidth="1"/>
    <col min="4" max="4" width="12.85546875" style="1156" customWidth="1"/>
    <col min="5" max="5" width="11.85546875" style="1159" customWidth="1"/>
    <col min="6" max="6" width="17.28515625" style="1160" customWidth="1"/>
    <col min="7" max="7" width="11.85546875" style="1156" bestFit="1" customWidth="1"/>
    <col min="8" max="16384" width="9.140625" style="1156"/>
  </cols>
  <sheetData>
    <row r="1" spans="1:8" s="1148" customFormat="1">
      <c r="A1" s="2310"/>
      <c r="B1" s="2311"/>
      <c r="C1" s="2311"/>
      <c r="D1" s="2311"/>
      <c r="E1" s="2311"/>
      <c r="F1" s="2312"/>
      <c r="G1" s="1146"/>
      <c r="H1" s="1150"/>
    </row>
    <row r="2" spans="1:8" ht="15" customHeight="1">
      <c r="A2" s="1470"/>
      <c r="B2" s="1152"/>
      <c r="C2" s="1153"/>
      <c r="D2" s="1153"/>
      <c r="E2" s="1154"/>
      <c r="F2" s="1471"/>
    </row>
    <row r="3" spans="1:8" s="1148" customFormat="1">
      <c r="A3" s="2250" t="s">
        <v>18</v>
      </c>
      <c r="B3" s="2201"/>
      <c r="C3" s="2201"/>
      <c r="D3" s="2201"/>
      <c r="E3" s="2201"/>
      <c r="F3" s="2251"/>
      <c r="G3" s="1146"/>
      <c r="H3" s="1147"/>
    </row>
    <row r="4" spans="1:8" s="1148" customFormat="1">
      <c r="A4" s="2252"/>
      <c r="B4" s="2253"/>
      <c r="C4" s="2253"/>
      <c r="D4" s="2253"/>
      <c r="E4" s="2253"/>
      <c r="F4" s="2254"/>
      <c r="G4" s="1149"/>
      <c r="H4" s="1149"/>
    </row>
    <row r="5" spans="1:8" s="1148" customFormat="1" ht="15.75" thickBot="1">
      <c r="A5" s="2304"/>
      <c r="B5" s="2305"/>
      <c r="C5" s="2305"/>
      <c r="D5" s="2305"/>
      <c r="E5" s="2305"/>
      <c r="F5" s="2306"/>
      <c r="G5" s="1146"/>
      <c r="H5" s="1150"/>
    </row>
    <row r="6" spans="1:8" ht="16.5" thickBot="1">
      <c r="A6" s="2313" t="s">
        <v>1456</v>
      </c>
      <c r="B6" s="2314"/>
      <c r="C6" s="2314"/>
      <c r="D6" s="2314"/>
      <c r="E6" s="2314"/>
      <c r="F6" s="2315"/>
    </row>
    <row r="7" spans="1:8" ht="15.75" thickBot="1"/>
    <row r="8" spans="1:8" ht="15" customHeight="1" thickTop="1">
      <c r="A8" s="1161" t="s">
        <v>6</v>
      </c>
      <c r="B8" s="2224" t="s">
        <v>1523</v>
      </c>
      <c r="C8" s="2226" t="s">
        <v>1457</v>
      </c>
      <c r="D8" s="2210" t="s">
        <v>1812</v>
      </c>
      <c r="E8" s="1162" t="s">
        <v>1458</v>
      </c>
      <c r="F8" s="1163">
        <v>45413</v>
      </c>
    </row>
    <row r="9" spans="1:8" ht="25.5">
      <c r="A9" s="1164" t="s">
        <v>1034</v>
      </c>
      <c r="B9" s="2225"/>
      <c r="C9" s="2227"/>
      <c r="D9" s="2211"/>
      <c r="E9" s="1165" t="s">
        <v>1460</v>
      </c>
      <c r="F9" s="1166" t="s">
        <v>512</v>
      </c>
    </row>
    <row r="10" spans="1:8">
      <c r="A10" s="2228" t="s">
        <v>1461</v>
      </c>
      <c r="B10" s="2230" t="s">
        <v>5</v>
      </c>
      <c r="C10" s="2230" t="s">
        <v>21</v>
      </c>
      <c r="D10" s="2230" t="s">
        <v>1462</v>
      </c>
      <c r="E10" s="2230" t="s">
        <v>24</v>
      </c>
      <c r="F10" s="2217" t="s">
        <v>787</v>
      </c>
    </row>
    <row r="11" spans="1:8" ht="15.75" thickBot="1">
      <c r="A11" s="2229"/>
      <c r="B11" s="2231"/>
      <c r="C11" s="2232"/>
      <c r="D11" s="2232"/>
      <c r="E11" s="2232"/>
      <c r="F11" s="2218"/>
    </row>
    <row r="12" spans="1:8" ht="16.5" thickTop="1" thickBot="1">
      <c r="A12" s="2233" t="s">
        <v>1463</v>
      </c>
      <c r="B12" s="2234"/>
      <c r="C12" s="2234"/>
      <c r="D12" s="2234"/>
      <c r="E12" s="2234"/>
      <c r="F12" s="2235"/>
    </row>
    <row r="13" spans="1:8" ht="15.75" thickTop="1">
      <c r="A13" s="1167"/>
      <c r="B13" s="1168"/>
      <c r="C13" s="1169"/>
      <c r="D13" s="1170"/>
      <c r="E13" s="1171"/>
      <c r="F13" s="1172">
        <v>0</v>
      </c>
    </row>
    <row r="14" spans="1:8">
      <c r="A14" s="1173"/>
      <c r="B14" s="1174"/>
      <c r="C14" s="1175"/>
      <c r="D14" s="1176"/>
      <c r="E14" s="1177"/>
      <c r="F14" s="1172">
        <v>0</v>
      </c>
    </row>
    <row r="15" spans="1:8" hidden="1">
      <c r="A15" s="1173"/>
      <c r="B15" s="1174"/>
      <c r="C15" s="1175"/>
      <c r="D15" s="1176"/>
      <c r="E15" s="1177"/>
      <c r="F15" s="1172">
        <v>0</v>
      </c>
    </row>
    <row r="16" spans="1:8" ht="15.75" hidden="1" thickBot="1">
      <c r="A16" s="1173"/>
      <c r="B16" s="1174"/>
      <c r="C16" s="1175"/>
      <c r="D16" s="1176"/>
      <c r="E16" s="1177"/>
      <c r="F16" s="1172">
        <v>0</v>
      </c>
    </row>
    <row r="17" spans="1:7" hidden="1">
      <c r="A17" s="1173"/>
      <c r="B17" s="1174"/>
      <c r="C17" s="1175"/>
      <c r="D17" s="1176"/>
      <c r="E17" s="1177"/>
      <c r="F17" s="1172">
        <v>0</v>
      </c>
    </row>
    <row r="18" spans="1:7" hidden="1">
      <c r="A18" s="1173"/>
      <c r="B18" s="1174"/>
      <c r="C18" s="1175"/>
      <c r="D18" s="1176"/>
      <c r="E18" s="1177"/>
      <c r="F18" s="1172">
        <v>0</v>
      </c>
    </row>
    <row r="19" spans="1:7" ht="15.75" thickBot="1">
      <c r="A19" s="2244" t="s">
        <v>22</v>
      </c>
      <c r="B19" s="2245"/>
      <c r="C19" s="2245"/>
      <c r="D19" s="2245"/>
      <c r="E19" s="2246"/>
      <c r="F19" s="1198">
        <v>0</v>
      </c>
    </row>
    <row r="20" spans="1:7" ht="16.5" thickTop="1" thickBot="1">
      <c r="A20" s="2233" t="s">
        <v>188</v>
      </c>
      <c r="B20" s="2234"/>
      <c r="C20" s="2234"/>
      <c r="D20" s="2234"/>
      <c r="E20" s="2234"/>
      <c r="F20" s="2235"/>
    </row>
    <row r="21" spans="1:7" ht="15.75" thickTop="1">
      <c r="A21" s="1167"/>
      <c r="B21" s="1168"/>
      <c r="C21" s="1169"/>
      <c r="D21" s="1170"/>
      <c r="E21" s="1180"/>
      <c r="F21" s="1172">
        <v>0</v>
      </c>
    </row>
    <row r="22" spans="1:7">
      <c r="A22" s="1167"/>
      <c r="B22" s="1168"/>
      <c r="C22" s="1169"/>
      <c r="D22" s="1170"/>
      <c r="E22" s="1180"/>
      <c r="F22" s="1186">
        <v>0</v>
      </c>
    </row>
    <row r="23" spans="1:7" hidden="1">
      <c r="A23" s="1167"/>
      <c r="B23" s="1168"/>
      <c r="C23" s="1169"/>
      <c r="D23" s="1170"/>
      <c r="E23" s="1180"/>
      <c r="F23" s="1186">
        <v>0</v>
      </c>
    </row>
    <row r="24" spans="1:7" hidden="1">
      <c r="A24" s="1173"/>
      <c r="B24" s="1174"/>
      <c r="C24" s="1175"/>
      <c r="D24" s="1176"/>
      <c r="E24" s="1184"/>
      <c r="F24" s="1186">
        <v>0</v>
      </c>
    </row>
    <row r="25" spans="1:7" ht="15.75" thickBot="1">
      <c r="A25" s="2236"/>
      <c r="B25" s="2237"/>
      <c r="C25" s="2237"/>
      <c r="D25" s="2238"/>
      <c r="E25" s="1185" t="s">
        <v>22</v>
      </c>
      <c r="F25" s="1198">
        <v>0</v>
      </c>
    </row>
    <row r="26" spans="1:7" ht="16.5" thickTop="1" thickBot="1">
      <c r="A26" s="2233" t="s">
        <v>1475</v>
      </c>
      <c r="B26" s="2234"/>
      <c r="C26" s="2234"/>
      <c r="D26" s="2234"/>
      <c r="E26" s="2234"/>
      <c r="F26" s="2235"/>
    </row>
    <row r="27" spans="1:7" ht="15.75" thickTop="1">
      <c r="A27" s="1173"/>
      <c r="B27" s="1174"/>
      <c r="C27" s="1175"/>
      <c r="D27" s="1176"/>
      <c r="E27" s="1184"/>
      <c r="F27" s="1186">
        <v>0</v>
      </c>
    </row>
    <row r="28" spans="1:7">
      <c r="A28" s="1173"/>
      <c r="B28" s="1174"/>
      <c r="C28" s="1175"/>
      <c r="D28" s="1176"/>
      <c r="E28" s="1184"/>
      <c r="F28" s="1186">
        <v>0</v>
      </c>
    </row>
    <row r="29" spans="1:7" ht="15.75" thickBot="1">
      <c r="A29" s="2247"/>
      <c r="B29" s="2248"/>
      <c r="C29" s="2248"/>
      <c r="D29" s="2249"/>
      <c r="E29" s="1185" t="s">
        <v>22</v>
      </c>
      <c r="F29" s="1198">
        <v>0</v>
      </c>
    </row>
    <row r="30" spans="1:7" ht="16.5" thickTop="1" thickBot="1">
      <c r="A30" s="2233" t="s">
        <v>1476</v>
      </c>
      <c r="B30" s="2234"/>
      <c r="C30" s="2234"/>
      <c r="D30" s="2234"/>
      <c r="E30" s="2234"/>
      <c r="F30" s="2235"/>
    </row>
    <row r="31" spans="1:7" ht="26.25" thickTop="1">
      <c r="A31" s="1418" t="s">
        <v>1721</v>
      </c>
      <c r="B31" s="1187" t="s">
        <v>1722</v>
      </c>
      <c r="C31" s="1175" t="s">
        <v>0</v>
      </c>
      <c r="D31" s="1176">
        <v>1</v>
      </c>
      <c r="E31" s="1184">
        <v>206.72</v>
      </c>
      <c r="F31" s="1186">
        <f>ROUND(D31*E31,2)</f>
        <v>206.72</v>
      </c>
      <c r="G31" s="1156" t="s">
        <v>1486</v>
      </c>
    </row>
    <row r="32" spans="1:7" ht="38.25">
      <c r="A32" s="1422">
        <v>95877</v>
      </c>
      <c r="B32" s="1187" t="s">
        <v>1023</v>
      </c>
      <c r="C32" s="1175" t="s">
        <v>1009</v>
      </c>
      <c r="D32" s="1176">
        <f>30*1.3*D31</f>
        <v>39</v>
      </c>
      <c r="E32" s="1184">
        <v>1.83</v>
      </c>
      <c r="F32" s="1186">
        <f>ROUND(D32*E32,2)</f>
        <v>71.37</v>
      </c>
      <c r="G32" s="1156" t="s">
        <v>1486</v>
      </c>
    </row>
    <row r="33" spans="1:7" ht="38.25">
      <c r="A33" s="1422">
        <v>93590</v>
      </c>
      <c r="B33" s="1187" t="s">
        <v>1025</v>
      </c>
      <c r="C33" s="1175" t="s">
        <v>1009</v>
      </c>
      <c r="D33" s="1176">
        <f>D31*1.3*(180-30)</f>
        <v>195</v>
      </c>
      <c r="E33" s="1184">
        <v>0.96</v>
      </c>
      <c r="F33" s="1186">
        <f>ROUND(D33*E33,2)</f>
        <v>187.2</v>
      </c>
    </row>
    <row r="34" spans="1:7" ht="51">
      <c r="A34" s="1418" t="s">
        <v>1723</v>
      </c>
      <c r="B34" s="1187" t="s">
        <v>1724</v>
      </c>
      <c r="C34" s="1175" t="s">
        <v>0</v>
      </c>
      <c r="D34" s="1176">
        <v>1</v>
      </c>
      <c r="E34" s="1184">
        <v>8.57</v>
      </c>
      <c r="F34" s="1186">
        <f>ROUND(D34*E34,2)</f>
        <v>8.57</v>
      </c>
      <c r="G34" s="1156" t="s">
        <v>1486</v>
      </c>
    </row>
    <row r="35" spans="1:7" ht="15.75" thickBot="1">
      <c r="A35" s="2236"/>
      <c r="B35" s="2237"/>
      <c r="C35" s="2237"/>
      <c r="D35" s="2238"/>
      <c r="E35" s="1185" t="s">
        <v>22</v>
      </c>
      <c r="F35" s="1198">
        <f>SUM(F31:F34)</f>
        <v>473.86</v>
      </c>
    </row>
    <row r="36" spans="1:7" ht="15.75" thickTop="1">
      <c r="A36" s="2239" t="s">
        <v>1481</v>
      </c>
      <c r="B36" s="2240"/>
      <c r="C36" s="2240"/>
      <c r="D36" s="2240"/>
      <c r="E36" s="2241"/>
      <c r="F36" s="1199">
        <f>F35+F29+F25+F19</f>
        <v>473.86</v>
      </c>
      <c r="G36" s="1200" t="b">
        <f>VLOOKUP(A9,'[16]Maguariaçu T2'!$B$10:$F$68,5,0)=F36</f>
        <v>0</v>
      </c>
    </row>
    <row r="37" spans="1:7">
      <c r="A37" s="1190" t="s">
        <v>198</v>
      </c>
      <c r="B37" s="1191"/>
      <c r="C37" s="1191"/>
      <c r="D37" s="1191"/>
      <c r="E37" s="1192">
        <f>'[16]B.D.I'!J22</f>
        <v>0.27460000000000001</v>
      </c>
      <c r="F37" s="1201">
        <f>E37*F36</f>
        <v>130.12</v>
      </c>
    </row>
    <row r="38" spans="1:7" ht="15.75" customHeight="1" thickBot="1">
      <c r="A38" s="2242" t="s">
        <v>1482</v>
      </c>
      <c r="B38" s="2243"/>
      <c r="C38" s="2243"/>
      <c r="D38" s="2243"/>
      <c r="E38" s="2243"/>
      <c r="F38" s="1202">
        <f>F37+F36</f>
        <v>603.98</v>
      </c>
    </row>
    <row r="39" spans="1:7" ht="15.75" thickTop="1"/>
  </sheetData>
  <mergeCells count="24">
    <mergeCell ref="A1:F1"/>
    <mergeCell ref="A30:F30"/>
    <mergeCell ref="A35:D35"/>
    <mergeCell ref="A36:E36"/>
    <mergeCell ref="A38:E38"/>
    <mergeCell ref="A12:F12"/>
    <mergeCell ref="A19:E19"/>
    <mergeCell ref="A20:F20"/>
    <mergeCell ref="A25:D25"/>
    <mergeCell ref="A26:F26"/>
    <mergeCell ref="A29:D29"/>
    <mergeCell ref="F10:F11"/>
    <mergeCell ref="A3:F3"/>
    <mergeCell ref="A4:F4"/>
    <mergeCell ref="A5:F5"/>
    <mergeCell ref="A6:F6"/>
    <mergeCell ref="E10:E11"/>
    <mergeCell ref="B8:B9"/>
    <mergeCell ref="C8:C9"/>
    <mergeCell ref="D8:D9"/>
    <mergeCell ref="A10:A11"/>
    <mergeCell ref="B10:B11"/>
    <mergeCell ref="C10:C11"/>
    <mergeCell ref="D10:D11"/>
  </mergeCells>
  <printOptions horizontalCentered="1"/>
  <pageMargins left="0.51181102362204722" right="0.31496062992125984" top="0.55118110236220474" bottom="0.78740157480314965" header="0.31496062992125984" footer="0.31496062992125984"/>
  <pageSetup paperSize="9" scale="92" orientation="portrait" r:id="rId1"/>
  <headerFooter>
    <oddHeader xml:space="preserve">&amp;C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73F4-7259-4E36-94DA-C8092A39C7FC}">
  <sheetPr>
    <tabColor theme="7" tint="0.39997558519241921"/>
    <pageSetUpPr fitToPage="1"/>
  </sheetPr>
  <dimension ref="A1:H40"/>
  <sheetViews>
    <sheetView showGridLines="0" view="pageBreakPreview" topLeftCell="A16" zoomScaleNormal="85" zoomScaleSheetLayoutView="100" workbookViewId="0">
      <selection activeCell="B4" sqref="A1:F5"/>
    </sheetView>
  </sheetViews>
  <sheetFormatPr defaultColWidth="9.140625" defaultRowHeight="15"/>
  <cols>
    <col min="1" max="1" width="12.42578125" style="1262" customWidth="1"/>
    <col min="2" max="2" width="43.28515625" style="1256" customWidth="1"/>
    <col min="3" max="3" width="8.42578125" style="1263" customWidth="1"/>
    <col min="4" max="4" width="12.85546875" style="1256" customWidth="1"/>
    <col min="5" max="5" width="11.85546875" style="1264" customWidth="1"/>
    <col min="6" max="6" width="17.28515625" style="1265" customWidth="1"/>
    <col min="7" max="7" width="11.85546875" style="1256" bestFit="1" customWidth="1"/>
    <col min="8" max="16384" width="9.140625" style="1256"/>
  </cols>
  <sheetData>
    <row r="1" spans="1:8" s="1251" customFormat="1">
      <c r="A1" s="2310"/>
      <c r="B1" s="2311"/>
      <c r="C1" s="2311"/>
      <c r="D1" s="2311"/>
      <c r="E1" s="2311"/>
      <c r="F1" s="2312"/>
      <c r="G1" s="1146"/>
      <c r="H1" s="1150"/>
    </row>
    <row r="2" spans="1:8" ht="15" customHeight="1">
      <c r="A2" s="1472"/>
      <c r="B2" s="1254"/>
      <c r="C2" s="1255"/>
      <c r="D2" s="1255"/>
      <c r="E2" s="1154"/>
      <c r="F2" s="1471"/>
    </row>
    <row r="3" spans="1:8" s="1251" customFormat="1">
      <c r="A3" s="2250" t="s">
        <v>18</v>
      </c>
      <c r="B3" s="2201"/>
      <c r="C3" s="2201"/>
      <c r="D3" s="2201"/>
      <c r="E3" s="2201"/>
      <c r="F3" s="2251"/>
      <c r="G3" s="1146"/>
      <c r="H3" s="1147"/>
    </row>
    <row r="4" spans="1:8" s="1251" customFormat="1">
      <c r="A4" s="1473"/>
      <c r="B4" s="2202"/>
      <c r="C4" s="2202"/>
      <c r="D4" s="2202"/>
      <c r="E4" s="2202"/>
      <c r="F4" s="2262"/>
      <c r="G4" s="1149"/>
      <c r="H4" s="1149"/>
    </row>
    <row r="5" spans="1:8" s="1251" customFormat="1" ht="15.75" thickBot="1">
      <c r="A5" s="1474"/>
      <c r="B5" s="2316"/>
      <c r="C5" s="2316"/>
      <c r="D5" s="2316"/>
      <c r="E5" s="2316"/>
      <c r="F5" s="2317"/>
      <c r="G5" s="1146"/>
      <c r="H5" s="1150"/>
    </row>
    <row r="6" spans="1:8" ht="16.5" thickBot="1">
      <c r="A6" s="2318" t="s">
        <v>1456</v>
      </c>
      <c r="B6" s="2319"/>
      <c r="C6" s="2319"/>
      <c r="D6" s="2319"/>
      <c r="E6" s="2319"/>
      <c r="F6" s="2320"/>
    </row>
    <row r="7" spans="1:8" ht="15.75" thickBot="1"/>
    <row r="8" spans="1:8" ht="15" customHeight="1" thickTop="1">
      <c r="A8" s="1266" t="s">
        <v>6</v>
      </c>
      <c r="B8" s="2206" t="s">
        <v>1687</v>
      </c>
      <c r="C8" s="2208" t="s">
        <v>1457</v>
      </c>
      <c r="D8" s="2210" t="s">
        <v>1812</v>
      </c>
      <c r="E8" s="1267" t="s">
        <v>1458</v>
      </c>
      <c r="F8" s="1196">
        <v>45413</v>
      </c>
    </row>
    <row r="9" spans="1:8">
      <c r="A9" s="1268" t="s">
        <v>1012</v>
      </c>
      <c r="B9" s="2207"/>
      <c r="C9" s="2209"/>
      <c r="D9" s="2211"/>
      <c r="E9" s="1269" t="s">
        <v>1460</v>
      </c>
      <c r="F9" s="1270" t="s">
        <v>0</v>
      </c>
    </row>
    <row r="10" spans="1:8">
      <c r="A10" s="2212" t="s">
        <v>1461</v>
      </c>
      <c r="B10" s="2214" t="s">
        <v>5</v>
      </c>
      <c r="C10" s="2214" t="s">
        <v>21</v>
      </c>
      <c r="D10" s="2214" t="s">
        <v>1462</v>
      </c>
      <c r="E10" s="2214" t="s">
        <v>24</v>
      </c>
      <c r="F10" s="2199" t="s">
        <v>787</v>
      </c>
    </row>
    <row r="11" spans="1:8" ht="15.75" thickBot="1">
      <c r="A11" s="2213"/>
      <c r="B11" s="2215"/>
      <c r="C11" s="2216"/>
      <c r="D11" s="2216"/>
      <c r="E11" s="2216"/>
      <c r="F11" s="2200"/>
    </row>
    <row r="12" spans="1:8" ht="16.5" thickTop="1" thickBot="1">
      <c r="A12" s="2182" t="s">
        <v>1463</v>
      </c>
      <c r="B12" s="2183"/>
      <c r="C12" s="2183"/>
      <c r="D12" s="2183"/>
      <c r="E12" s="2183"/>
      <c r="F12" s="2184"/>
    </row>
    <row r="13" spans="1:8" ht="39" thickTop="1">
      <c r="A13" s="1430" t="s">
        <v>1693</v>
      </c>
      <c r="B13" s="1272" t="s">
        <v>1689</v>
      </c>
      <c r="C13" s="1273" t="s">
        <v>280</v>
      </c>
      <c r="D13" s="1274">
        <v>0.9143</v>
      </c>
      <c r="E13" s="1275" t="s">
        <v>1697</v>
      </c>
      <c r="F13" s="1276">
        <f>E13*D13</f>
        <v>9.52</v>
      </c>
    </row>
    <row r="14" spans="1:8" ht="38.25">
      <c r="A14" s="1419" t="s">
        <v>1694</v>
      </c>
      <c r="B14" s="1278" t="s">
        <v>1690</v>
      </c>
      <c r="C14" s="1279" t="s">
        <v>504</v>
      </c>
      <c r="D14" s="1280">
        <v>0.71430000000000005</v>
      </c>
      <c r="E14" s="1281" t="s">
        <v>1698</v>
      </c>
      <c r="F14" s="1276">
        <f>E14*D14</f>
        <v>6.05</v>
      </c>
    </row>
    <row r="15" spans="1:8" ht="38.25">
      <c r="A15" s="1419" t="s">
        <v>1695</v>
      </c>
      <c r="B15" s="1278" t="s">
        <v>1691</v>
      </c>
      <c r="C15" s="1279" t="s">
        <v>195</v>
      </c>
      <c r="D15" s="1280">
        <f>1.3*10%</f>
        <v>0.13</v>
      </c>
      <c r="E15" s="1281" t="s">
        <v>1699</v>
      </c>
      <c r="F15" s="1276">
        <f>E15*D15</f>
        <v>26.74</v>
      </c>
    </row>
    <row r="16" spans="1:8" ht="25.5">
      <c r="A16" s="1419" t="s">
        <v>1696</v>
      </c>
      <c r="B16" s="1278" t="s">
        <v>1692</v>
      </c>
      <c r="C16" s="1279" t="s">
        <v>282</v>
      </c>
      <c r="D16" s="1280">
        <v>2.3999999999999998E-3</v>
      </c>
      <c r="E16" s="1281" t="s">
        <v>1700</v>
      </c>
      <c r="F16" s="1276">
        <f>E16*D16</f>
        <v>0.05</v>
      </c>
    </row>
    <row r="17" spans="1:7" ht="38.25">
      <c r="A17" s="1419" t="s">
        <v>1706</v>
      </c>
      <c r="B17" s="1278" t="s">
        <v>1707</v>
      </c>
      <c r="C17" s="1279" t="s">
        <v>195</v>
      </c>
      <c r="D17" s="1280">
        <f>1*10%</f>
        <v>0.1</v>
      </c>
      <c r="E17" s="1281" t="s">
        <v>1709</v>
      </c>
      <c r="F17" s="1276">
        <f>E17*D17</f>
        <v>36.11</v>
      </c>
    </row>
    <row r="18" spans="1:7">
      <c r="A18" s="1277"/>
      <c r="B18" s="1278"/>
      <c r="C18" s="1279"/>
      <c r="D18" s="1280"/>
      <c r="E18" s="1281"/>
      <c r="F18" s="1282">
        <v>0</v>
      </c>
    </row>
    <row r="19" spans="1:7" ht="15.75" thickBot="1">
      <c r="A19" s="2193" t="s">
        <v>22</v>
      </c>
      <c r="B19" s="2194"/>
      <c r="C19" s="2194"/>
      <c r="D19" s="2194"/>
      <c r="E19" s="2195"/>
      <c r="F19" s="1283">
        <f>SUM(F13:F18)</f>
        <v>78.47</v>
      </c>
    </row>
    <row r="20" spans="1:7" ht="16.5" thickTop="1" thickBot="1">
      <c r="A20" s="2182" t="s">
        <v>188</v>
      </c>
      <c r="B20" s="2183"/>
      <c r="C20" s="2183"/>
      <c r="D20" s="2183"/>
      <c r="E20" s="2183"/>
      <c r="F20" s="2184"/>
    </row>
    <row r="21" spans="1:7" ht="15.75" thickTop="1">
      <c r="A21" s="1419" t="s">
        <v>1705</v>
      </c>
      <c r="B21" s="1278" t="s">
        <v>275</v>
      </c>
      <c r="C21" s="1279" t="s">
        <v>229</v>
      </c>
      <c r="D21" s="1280">
        <f>2.8815*2.5</f>
        <v>7.2037500000000003</v>
      </c>
      <c r="E21" s="1284">
        <f>Composição8!E21</f>
        <v>24.72</v>
      </c>
      <c r="F21" s="1276">
        <f>E21*D21</f>
        <v>178.08</v>
      </c>
      <c r="G21" s="1256" t="s">
        <v>1486</v>
      </c>
    </row>
    <row r="22" spans="1:7">
      <c r="A22" s="1430" t="s">
        <v>42</v>
      </c>
      <c r="B22" s="1272" t="s">
        <v>189</v>
      </c>
      <c r="C22" s="1273" t="s">
        <v>229</v>
      </c>
      <c r="D22" s="1274">
        <f>2.8815*2.5</f>
        <v>7.2037500000000003</v>
      </c>
      <c r="E22" s="1284">
        <f>Composição8!E22</f>
        <v>19.940000000000001</v>
      </c>
      <c r="F22" s="1276">
        <f>E22*D22</f>
        <v>143.63999999999999</v>
      </c>
    </row>
    <row r="23" spans="1:7" hidden="1">
      <c r="A23" s="1271"/>
      <c r="B23" s="1272"/>
      <c r="C23" s="1273"/>
      <c r="D23" s="1274"/>
      <c r="E23" s="1285"/>
      <c r="F23" s="1276">
        <v>0</v>
      </c>
    </row>
    <row r="24" spans="1:7" hidden="1">
      <c r="A24" s="1277"/>
      <c r="B24" s="1278"/>
      <c r="C24" s="1279"/>
      <c r="D24" s="1280"/>
      <c r="E24" s="1284"/>
      <c r="F24" s="1276">
        <v>0</v>
      </c>
    </row>
    <row r="25" spans="1:7" ht="15.75" thickBot="1">
      <c r="A25" s="2185"/>
      <c r="B25" s="2186"/>
      <c r="C25" s="2186"/>
      <c r="D25" s="2187"/>
      <c r="E25" s="1286" t="s">
        <v>22</v>
      </c>
      <c r="F25" s="1283">
        <f>SUM(F21:F24)</f>
        <v>321.72000000000003</v>
      </c>
    </row>
    <row r="26" spans="1:7" ht="16.5" thickTop="1" thickBot="1">
      <c r="A26" s="2182" t="s">
        <v>1475</v>
      </c>
      <c r="B26" s="2183"/>
      <c r="C26" s="2183"/>
      <c r="D26" s="2183"/>
      <c r="E26" s="2183"/>
      <c r="F26" s="2184"/>
      <c r="G26" s="1256" t="s">
        <v>1486</v>
      </c>
    </row>
    <row r="27" spans="1:7" ht="39" thickTop="1">
      <c r="A27" s="1419" t="s">
        <v>1701</v>
      </c>
      <c r="B27" s="1278" t="s">
        <v>1702</v>
      </c>
      <c r="C27" s="1279" t="s">
        <v>174</v>
      </c>
      <c r="D27" s="1280">
        <f>0.1404*2</f>
        <v>0.28079999999999999</v>
      </c>
      <c r="E27" s="1184">
        <v>209.25</v>
      </c>
      <c r="F27" s="1276">
        <f>E27*D27</f>
        <v>58.76</v>
      </c>
      <c r="G27" s="1256" t="s">
        <v>1486</v>
      </c>
    </row>
    <row r="28" spans="1:7" ht="38.25">
      <c r="A28" s="1419" t="s">
        <v>1703</v>
      </c>
      <c r="B28" s="1278" t="s">
        <v>1704</v>
      </c>
      <c r="C28" s="1279" t="s">
        <v>176</v>
      </c>
      <c r="D28" s="1280">
        <f>0.8201*2</f>
        <v>1.6402000000000001</v>
      </c>
      <c r="E28" s="1184">
        <v>85.15</v>
      </c>
      <c r="F28" s="1276">
        <f>E28*D28</f>
        <v>139.66</v>
      </c>
      <c r="G28" s="1256" t="s">
        <v>1486</v>
      </c>
    </row>
    <row r="29" spans="1:7">
      <c r="A29" s="1277"/>
      <c r="B29" s="1278"/>
      <c r="C29" s="1279"/>
      <c r="D29" s="1280"/>
      <c r="E29" s="1184"/>
      <c r="F29" s="1276">
        <f>E29*D29</f>
        <v>0</v>
      </c>
      <c r="G29" s="1256" t="s">
        <v>1486</v>
      </c>
    </row>
    <row r="30" spans="1:7">
      <c r="A30" s="1277"/>
      <c r="B30" s="1278"/>
      <c r="C30" s="1279"/>
      <c r="D30" s="1280"/>
      <c r="E30" s="1184"/>
      <c r="F30" s="1276">
        <f>E30*D30</f>
        <v>0</v>
      </c>
      <c r="G30" s="1256" t="s">
        <v>1486</v>
      </c>
    </row>
    <row r="31" spans="1:7" ht="15.75" thickBot="1">
      <c r="A31" s="2196"/>
      <c r="B31" s="2197"/>
      <c r="C31" s="2197"/>
      <c r="D31" s="2198"/>
      <c r="E31" s="1286" t="s">
        <v>22</v>
      </c>
      <c r="F31" s="1283">
        <f>SUM(F27:F30)</f>
        <v>198.42</v>
      </c>
    </row>
    <row r="32" spans="1:7" ht="16.5" thickTop="1" thickBot="1">
      <c r="A32" s="2182" t="s">
        <v>1476</v>
      </c>
      <c r="B32" s="2183"/>
      <c r="C32" s="2183"/>
      <c r="D32" s="2183"/>
      <c r="E32" s="2183"/>
      <c r="F32" s="2184"/>
    </row>
    <row r="33" spans="1:7" ht="15.75" thickTop="1">
      <c r="A33" s="1277"/>
      <c r="B33" s="1278"/>
      <c r="C33" s="1279"/>
      <c r="D33" s="1280"/>
      <c r="E33" s="1284"/>
      <c r="F33" s="1276">
        <f>E33*D33</f>
        <v>0</v>
      </c>
    </row>
    <row r="34" spans="1:7">
      <c r="A34" s="1277"/>
      <c r="B34" s="1278"/>
      <c r="C34" s="1279"/>
      <c r="D34" s="1280"/>
      <c r="E34" s="1284"/>
      <c r="F34" s="1276">
        <f>E34*D34</f>
        <v>0</v>
      </c>
    </row>
    <row r="35" spans="1:7" hidden="1">
      <c r="A35" s="1277"/>
      <c r="B35" s="1278"/>
      <c r="C35" s="1279"/>
      <c r="D35" s="1280"/>
      <c r="E35" s="1284"/>
      <c r="F35" s="1276">
        <v>0</v>
      </c>
    </row>
    <row r="36" spans="1:7" ht="15.75" thickBot="1">
      <c r="A36" s="2185"/>
      <c r="B36" s="2186"/>
      <c r="C36" s="2186"/>
      <c r="D36" s="2187"/>
      <c r="E36" s="1286" t="s">
        <v>22</v>
      </c>
      <c r="F36" s="1283">
        <f>SUM(F33:F35)</f>
        <v>0</v>
      </c>
    </row>
    <row r="37" spans="1:7" ht="15.75" thickTop="1">
      <c r="A37" s="2188" t="s">
        <v>1481</v>
      </c>
      <c r="B37" s="2189"/>
      <c r="C37" s="2189"/>
      <c r="D37" s="2189"/>
      <c r="E37" s="2190"/>
      <c r="F37" s="1287">
        <f>SUM(F36,F31,F25,F19)</f>
        <v>598.61</v>
      </c>
      <c r="G37" s="1288" t="e">
        <f>VLOOKUP(A9,#REF!,5,0)=F37</f>
        <v>#REF!</v>
      </c>
    </row>
    <row r="38" spans="1:7">
      <c r="A38" s="1289" t="s">
        <v>198</v>
      </c>
      <c r="B38" s="1290"/>
      <c r="C38" s="1290"/>
      <c r="D38" s="1290"/>
      <c r="E38" s="1291">
        <v>0.27460000000000001</v>
      </c>
      <c r="F38" s="1292">
        <f>E38*F37</f>
        <v>164.38</v>
      </c>
    </row>
    <row r="39" spans="1:7" ht="15.75" thickBot="1">
      <c r="A39" s="2191" t="s">
        <v>1482</v>
      </c>
      <c r="B39" s="2192"/>
      <c r="C39" s="2192"/>
      <c r="D39" s="2192"/>
      <c r="E39" s="2192"/>
      <c r="F39" s="1293">
        <f>F38+F37</f>
        <v>762.99</v>
      </c>
    </row>
    <row r="40" spans="1:7" ht="15.75" thickTop="1"/>
  </sheetData>
  <mergeCells count="23">
    <mergeCell ref="A1:F1"/>
    <mergeCell ref="F10:F11"/>
    <mergeCell ref="A3:F3"/>
    <mergeCell ref="B4:F5"/>
    <mergeCell ref="A6:F6"/>
    <mergeCell ref="B8:B9"/>
    <mergeCell ref="C8:C9"/>
    <mergeCell ref="D8:D9"/>
    <mergeCell ref="A10:A11"/>
    <mergeCell ref="B10:B11"/>
    <mergeCell ref="C10:C11"/>
    <mergeCell ref="D10:D11"/>
    <mergeCell ref="E10:E11"/>
    <mergeCell ref="A32:F32"/>
    <mergeCell ref="A36:D36"/>
    <mergeCell ref="A37:E37"/>
    <mergeCell ref="A39:E39"/>
    <mergeCell ref="A12:F12"/>
    <mergeCell ref="A19:E19"/>
    <mergeCell ref="A20:F20"/>
    <mergeCell ref="A25:D25"/>
    <mergeCell ref="A26:F26"/>
    <mergeCell ref="A31:D31"/>
  </mergeCells>
  <printOptions horizontalCentered="1"/>
  <pageMargins left="0.51181102362204722" right="0.31496062992125984" top="0.55118110236220474" bottom="0.78740157480314965" header="0.31496062992125984" footer="0.31496062992125984"/>
  <pageSetup paperSize="9" scale="91" orientation="portrait" r:id="rId1"/>
  <headerFooter>
    <oddHeader xml:space="preserve">&amp;C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8307A-F6C4-4A70-8A5E-10ED5DE441C4}">
  <sheetPr>
    <tabColor theme="7" tint="0.39997558519241921"/>
  </sheetPr>
  <dimension ref="A1:H40"/>
  <sheetViews>
    <sheetView showGridLines="0" view="pageBreakPreview" topLeftCell="A16" zoomScaleNormal="85" zoomScaleSheetLayoutView="100" workbookViewId="0">
      <selection activeCell="A5" sqref="A1:F5"/>
    </sheetView>
  </sheetViews>
  <sheetFormatPr defaultColWidth="9.140625" defaultRowHeight="15"/>
  <cols>
    <col min="1" max="1" width="12.42578125" style="1262" customWidth="1"/>
    <col min="2" max="2" width="43.28515625" style="1256" customWidth="1"/>
    <col min="3" max="3" width="8.42578125" style="1263" customWidth="1"/>
    <col min="4" max="4" width="12.85546875" style="1256" customWidth="1"/>
    <col min="5" max="5" width="11.85546875" style="1264" customWidth="1"/>
    <col min="6" max="6" width="17.28515625" style="1265" customWidth="1"/>
    <col min="7" max="7" width="11.85546875" style="1256" bestFit="1" customWidth="1"/>
    <col min="8" max="16384" width="9.140625" style="1256"/>
  </cols>
  <sheetData>
    <row r="1" spans="1:8" s="1251" customFormat="1">
      <c r="A1" s="2201"/>
      <c r="B1" s="2201"/>
      <c r="C1" s="2201"/>
      <c r="D1" s="2201"/>
      <c r="E1" s="2201"/>
      <c r="F1" s="2201"/>
      <c r="G1" s="1146"/>
      <c r="H1" s="1150"/>
    </row>
    <row r="2" spans="1:8" ht="15" customHeight="1">
      <c r="A2" s="1253"/>
      <c r="B2" s="1254"/>
      <c r="C2" s="1255"/>
      <c r="D2" s="1255"/>
      <c r="E2" s="1154"/>
      <c r="F2" s="1155"/>
    </row>
    <row r="3" spans="1:8" s="1251" customFormat="1">
      <c r="A3" s="2201" t="s">
        <v>18</v>
      </c>
      <c r="B3" s="2201"/>
      <c r="C3" s="2201"/>
      <c r="D3" s="2201"/>
      <c r="E3" s="2201"/>
      <c r="F3" s="2201"/>
      <c r="G3" s="1146"/>
      <c r="H3" s="1147"/>
    </row>
    <row r="4" spans="1:8" s="1251" customFormat="1">
      <c r="A4" s="1252"/>
      <c r="B4" s="2202"/>
      <c r="C4" s="2202"/>
      <c r="D4" s="2202"/>
      <c r="E4" s="2202"/>
      <c r="F4" s="2202"/>
      <c r="G4" s="1149"/>
      <c r="H4" s="1149"/>
    </row>
    <row r="5" spans="1:8" s="1251" customFormat="1" ht="15.75" thickBot="1">
      <c r="A5" s="1252"/>
      <c r="B5" s="2202"/>
      <c r="C5" s="2202"/>
      <c r="D5" s="2202"/>
      <c r="E5" s="2202"/>
      <c r="F5" s="2202"/>
      <c r="G5" s="1146"/>
      <c r="H5" s="1150"/>
    </row>
    <row r="6" spans="1:8" ht="16.5" thickBot="1">
      <c r="A6" s="2318" t="s">
        <v>1456</v>
      </c>
      <c r="B6" s="2319"/>
      <c r="C6" s="2319"/>
      <c r="D6" s="2319"/>
      <c r="E6" s="2319"/>
      <c r="F6" s="2320"/>
    </row>
    <row r="7" spans="1:8" ht="15.75" thickBot="1"/>
    <row r="8" spans="1:8" ht="15" customHeight="1" thickTop="1">
      <c r="A8" s="1266" t="s">
        <v>6</v>
      </c>
      <c r="B8" s="2206" t="s">
        <v>1688</v>
      </c>
      <c r="C8" s="2208" t="s">
        <v>1457</v>
      </c>
      <c r="D8" s="2210" t="s">
        <v>1812</v>
      </c>
      <c r="E8" s="1267" t="s">
        <v>1458</v>
      </c>
      <c r="F8" s="1196">
        <v>45413</v>
      </c>
    </row>
    <row r="9" spans="1:8">
      <c r="A9" s="1268" t="s">
        <v>1125</v>
      </c>
      <c r="B9" s="2207"/>
      <c r="C9" s="2209"/>
      <c r="D9" s="2211"/>
      <c r="E9" s="1269" t="s">
        <v>1460</v>
      </c>
      <c r="F9" s="1270" t="s">
        <v>2</v>
      </c>
    </row>
    <row r="10" spans="1:8">
      <c r="A10" s="2212" t="s">
        <v>1461</v>
      </c>
      <c r="B10" s="2214" t="s">
        <v>5</v>
      </c>
      <c r="C10" s="2214" t="s">
        <v>21</v>
      </c>
      <c r="D10" s="2214" t="s">
        <v>1462</v>
      </c>
      <c r="E10" s="2214" t="s">
        <v>24</v>
      </c>
      <c r="F10" s="2199" t="s">
        <v>787</v>
      </c>
    </row>
    <row r="11" spans="1:8" ht="15.75" thickBot="1">
      <c r="A11" s="2213"/>
      <c r="B11" s="2215"/>
      <c r="C11" s="2216"/>
      <c r="D11" s="2216"/>
      <c r="E11" s="2216"/>
      <c r="F11" s="2200"/>
    </row>
    <row r="12" spans="1:8" ht="16.5" thickTop="1" thickBot="1">
      <c r="A12" s="2182" t="s">
        <v>1463</v>
      </c>
      <c r="B12" s="2183"/>
      <c r="C12" s="2183"/>
      <c r="D12" s="2183"/>
      <c r="E12" s="2183"/>
      <c r="F12" s="2184"/>
    </row>
    <row r="13" spans="1:8" ht="39" thickTop="1">
      <c r="A13" s="1430" t="s">
        <v>1693</v>
      </c>
      <c r="B13" s="1272" t="s">
        <v>1689</v>
      </c>
      <c r="C13" s="1273" t="s">
        <v>280</v>
      </c>
      <c r="D13" s="1274" t="s">
        <v>1715</v>
      </c>
      <c r="E13" s="1275" t="s">
        <v>1697</v>
      </c>
      <c r="F13" s="1276">
        <f>E13*D13</f>
        <v>11.97</v>
      </c>
    </row>
    <row r="14" spans="1:8" ht="38.25">
      <c r="A14" s="1419" t="s">
        <v>1695</v>
      </c>
      <c r="B14" s="1278" t="s">
        <v>1691</v>
      </c>
      <c r="C14" s="1279" t="s">
        <v>195</v>
      </c>
      <c r="D14" s="1280">
        <f>10%*0.299</f>
        <v>2.9899999999999999E-2</v>
      </c>
      <c r="E14" s="1281" t="s">
        <v>1699</v>
      </c>
      <c r="F14" s="1276">
        <f>E14*D14</f>
        <v>6.15</v>
      </c>
    </row>
    <row r="15" spans="1:8" ht="38.25">
      <c r="A15" s="1419" t="s">
        <v>1713</v>
      </c>
      <c r="B15" s="1278" t="s">
        <v>1714</v>
      </c>
      <c r="C15" s="1279" t="s">
        <v>280</v>
      </c>
      <c r="D15" s="1280">
        <f>10%*1</f>
        <v>0.1</v>
      </c>
      <c r="E15" s="1281">
        <v>175.5</v>
      </c>
      <c r="F15" s="1276">
        <f>E15*D15</f>
        <v>17.55</v>
      </c>
    </row>
    <row r="16" spans="1:8">
      <c r="A16" s="1277"/>
      <c r="B16" s="1278"/>
      <c r="C16" s="1279"/>
      <c r="D16" s="1280"/>
      <c r="E16" s="1281"/>
      <c r="F16" s="1276">
        <f>E16*D16</f>
        <v>0</v>
      </c>
    </row>
    <row r="17" spans="1:7">
      <c r="A17" s="1277"/>
      <c r="B17" s="1278"/>
      <c r="C17" s="1279"/>
      <c r="D17" s="1280"/>
      <c r="E17" s="1281"/>
      <c r="F17" s="1276">
        <f>E17*D17</f>
        <v>0</v>
      </c>
    </row>
    <row r="18" spans="1:7">
      <c r="A18" s="1277"/>
      <c r="B18" s="1278"/>
      <c r="C18" s="1279"/>
      <c r="D18" s="1280"/>
      <c r="E18" s="1281"/>
      <c r="F18" s="1282">
        <v>0</v>
      </c>
    </row>
    <row r="19" spans="1:7" ht="15.75" thickBot="1">
      <c r="A19" s="2193" t="s">
        <v>22</v>
      </c>
      <c r="B19" s="2194"/>
      <c r="C19" s="2194"/>
      <c r="D19" s="2194"/>
      <c r="E19" s="2195"/>
      <c r="F19" s="1283">
        <f>SUM(F13:F18)</f>
        <v>35.67</v>
      </c>
    </row>
    <row r="20" spans="1:7" ht="16.5" thickTop="1" thickBot="1">
      <c r="A20" s="2182" t="s">
        <v>188</v>
      </c>
      <c r="B20" s="2183"/>
      <c r="C20" s="2183"/>
      <c r="D20" s="2183"/>
      <c r="E20" s="2183"/>
      <c r="F20" s="2184"/>
    </row>
    <row r="21" spans="1:7" ht="15.75" thickTop="1">
      <c r="A21" s="1419" t="s">
        <v>1705</v>
      </c>
      <c r="B21" s="1278" t="s">
        <v>275</v>
      </c>
      <c r="C21" s="1279" t="s">
        <v>229</v>
      </c>
      <c r="D21" s="1280">
        <f>2*1.2249</f>
        <v>2.4498000000000002</v>
      </c>
      <c r="E21" s="1284">
        <v>24.72</v>
      </c>
      <c r="F21" s="1276">
        <f>E21*D21</f>
        <v>60.56</v>
      </c>
      <c r="G21" s="1256" t="s">
        <v>1486</v>
      </c>
    </row>
    <row r="22" spans="1:7">
      <c r="A22" s="1430" t="s">
        <v>42</v>
      </c>
      <c r="B22" s="1272" t="s">
        <v>189</v>
      </c>
      <c r="C22" s="1273" t="s">
        <v>229</v>
      </c>
      <c r="D22" s="1274">
        <f>2.5*1.2249</f>
        <v>3.0622500000000001</v>
      </c>
      <c r="E22" s="1285">
        <v>19.940000000000001</v>
      </c>
      <c r="F22" s="1276">
        <f>E22*D22</f>
        <v>61.06</v>
      </c>
    </row>
    <row r="23" spans="1:7" ht="15.75" hidden="1" thickBot="1">
      <c r="A23" s="1271"/>
      <c r="B23" s="1272"/>
      <c r="C23" s="1273"/>
      <c r="D23" s="1274"/>
      <c r="E23" s="1285"/>
      <c r="F23" s="1276">
        <v>0</v>
      </c>
    </row>
    <row r="24" spans="1:7" hidden="1">
      <c r="A24" s="1277"/>
      <c r="B24" s="1278"/>
      <c r="C24" s="1279"/>
      <c r="D24" s="1280"/>
      <c r="E24" s="1284"/>
      <c r="F24" s="1276">
        <v>0</v>
      </c>
    </row>
    <row r="25" spans="1:7" ht="15.75" thickBot="1">
      <c r="A25" s="2185"/>
      <c r="B25" s="2186"/>
      <c r="C25" s="2186"/>
      <c r="D25" s="2187"/>
      <c r="E25" s="1286" t="s">
        <v>22</v>
      </c>
      <c r="F25" s="1283">
        <f>SUM(F21:F24)</f>
        <v>121.62</v>
      </c>
    </row>
    <row r="26" spans="1:7" ht="16.5" thickTop="1" thickBot="1">
      <c r="A26" s="2182" t="s">
        <v>1475</v>
      </c>
      <c r="B26" s="2183"/>
      <c r="C26" s="2183"/>
      <c r="D26" s="2183"/>
      <c r="E26" s="2183"/>
      <c r="F26" s="2184"/>
      <c r="G26" s="1256" t="s">
        <v>1486</v>
      </c>
    </row>
    <row r="27" spans="1:7" ht="39" thickTop="1">
      <c r="A27" s="1419" t="s">
        <v>1701</v>
      </c>
      <c r="B27" s="1278" t="s">
        <v>1702</v>
      </c>
      <c r="C27" s="1279" t="s">
        <v>174</v>
      </c>
      <c r="D27" s="1280">
        <f>2*0.0698</f>
        <v>0.1396</v>
      </c>
      <c r="E27" s="1184">
        <v>209.25</v>
      </c>
      <c r="F27" s="1276">
        <f>E27*D27</f>
        <v>29.21</v>
      </c>
      <c r="G27" s="1256" t="s">
        <v>1486</v>
      </c>
    </row>
    <row r="28" spans="1:7" ht="38.25">
      <c r="A28" s="1419" t="s">
        <v>1703</v>
      </c>
      <c r="B28" s="1278" t="s">
        <v>1704</v>
      </c>
      <c r="C28" s="1279" t="s">
        <v>176</v>
      </c>
      <c r="D28" s="1280">
        <f>2*0.3385</f>
        <v>0.67700000000000005</v>
      </c>
      <c r="E28" s="1184">
        <v>85.15</v>
      </c>
      <c r="F28" s="1276">
        <f>E28*D28</f>
        <v>57.65</v>
      </c>
      <c r="G28" s="1256" t="s">
        <v>1486</v>
      </c>
    </row>
    <row r="29" spans="1:7">
      <c r="A29" s="1277"/>
      <c r="B29" s="1278"/>
      <c r="C29" s="1279"/>
      <c r="D29" s="1280"/>
      <c r="E29" s="1184"/>
      <c r="F29" s="1276">
        <f>E29*D29</f>
        <v>0</v>
      </c>
      <c r="G29" s="1256" t="s">
        <v>1486</v>
      </c>
    </row>
    <row r="30" spans="1:7">
      <c r="A30" s="1277"/>
      <c r="B30" s="1278"/>
      <c r="C30" s="1279"/>
      <c r="D30" s="1280"/>
      <c r="E30" s="1184"/>
      <c r="F30" s="1276">
        <f>E30*D30</f>
        <v>0</v>
      </c>
      <c r="G30" s="1256" t="s">
        <v>1486</v>
      </c>
    </row>
    <row r="31" spans="1:7" ht="15.75" thickBot="1">
      <c r="A31" s="2196"/>
      <c r="B31" s="2197"/>
      <c r="C31" s="2197"/>
      <c r="D31" s="2198"/>
      <c r="E31" s="1286" t="s">
        <v>22</v>
      </c>
      <c r="F31" s="1283">
        <f>SUM(F27:F30)</f>
        <v>86.86</v>
      </c>
    </row>
    <row r="32" spans="1:7" ht="16.5" thickTop="1" thickBot="1">
      <c r="A32" s="2182" t="s">
        <v>1476</v>
      </c>
      <c r="B32" s="2183"/>
      <c r="C32" s="2183"/>
      <c r="D32" s="2183"/>
      <c r="E32" s="2183"/>
      <c r="F32" s="2184"/>
    </row>
    <row r="33" spans="1:7" ht="15.75" thickTop="1">
      <c r="A33" s="1277"/>
      <c r="B33" s="1278"/>
      <c r="C33" s="1279"/>
      <c r="D33" s="1280"/>
      <c r="E33" s="1284"/>
      <c r="F33" s="1276">
        <f>E33*D33</f>
        <v>0</v>
      </c>
    </row>
    <row r="34" spans="1:7">
      <c r="A34" s="1277"/>
      <c r="B34" s="1278"/>
      <c r="C34" s="1279"/>
      <c r="D34" s="1280"/>
      <c r="E34" s="1284"/>
      <c r="F34" s="1276">
        <f>E34*D34</f>
        <v>0</v>
      </c>
    </row>
    <row r="35" spans="1:7" hidden="1">
      <c r="A35" s="1277"/>
      <c r="B35" s="1278"/>
      <c r="C35" s="1279"/>
      <c r="D35" s="1280"/>
      <c r="E35" s="1284"/>
      <c r="F35" s="1276">
        <v>0</v>
      </c>
    </row>
    <row r="36" spans="1:7" ht="15.75" thickBot="1">
      <c r="A36" s="2185"/>
      <c r="B36" s="2186"/>
      <c r="C36" s="2186"/>
      <c r="D36" s="2187"/>
      <c r="E36" s="1286" t="s">
        <v>22</v>
      </c>
      <c r="F36" s="1283">
        <f>SUM(F33:F35)</f>
        <v>0</v>
      </c>
    </row>
    <row r="37" spans="1:7" ht="15.75" thickTop="1">
      <c r="A37" s="2188" t="s">
        <v>1481</v>
      </c>
      <c r="B37" s="2189"/>
      <c r="C37" s="2189"/>
      <c r="D37" s="2189"/>
      <c r="E37" s="2190"/>
      <c r="F37" s="1287">
        <f>SUM(F36,F31,F25,F19)</f>
        <v>244.15</v>
      </c>
      <c r="G37" s="1288" t="e">
        <f>VLOOKUP(A9,#REF!,5,0)=F37</f>
        <v>#REF!</v>
      </c>
    </row>
    <row r="38" spans="1:7">
      <c r="A38" s="1289" t="s">
        <v>198</v>
      </c>
      <c r="B38" s="1290"/>
      <c r="C38" s="1290"/>
      <c r="D38" s="1290"/>
      <c r="E38" s="1291">
        <v>0.27460000000000001</v>
      </c>
      <c r="F38" s="1292">
        <f>E38*F37</f>
        <v>67.040000000000006</v>
      </c>
    </row>
    <row r="39" spans="1:7" ht="15.75" thickBot="1">
      <c r="A39" s="2191" t="s">
        <v>1482</v>
      </c>
      <c r="B39" s="2192"/>
      <c r="C39" s="2192"/>
      <c r="D39" s="2192"/>
      <c r="E39" s="2192"/>
      <c r="F39" s="1293">
        <f>F38+F37</f>
        <v>311.19</v>
      </c>
    </row>
    <row r="40" spans="1:7" ht="15.75" thickTop="1"/>
  </sheetData>
  <mergeCells count="23">
    <mergeCell ref="A1:F1"/>
    <mergeCell ref="F10:F11"/>
    <mergeCell ref="A3:F3"/>
    <mergeCell ref="B4:F5"/>
    <mergeCell ref="A6:F6"/>
    <mergeCell ref="B8:B9"/>
    <mergeCell ref="C8:C9"/>
    <mergeCell ref="D8:D9"/>
    <mergeCell ref="A10:A11"/>
    <mergeCell ref="B10:B11"/>
    <mergeCell ref="C10:C11"/>
    <mergeCell ref="D10:D11"/>
    <mergeCell ref="E10:E11"/>
    <mergeCell ref="A32:F32"/>
    <mergeCell ref="A36:D36"/>
    <mergeCell ref="A37:E37"/>
    <mergeCell ref="A39:E39"/>
    <mergeCell ref="A12:F12"/>
    <mergeCell ref="A19:E19"/>
    <mergeCell ref="A20:F20"/>
    <mergeCell ref="A25:D25"/>
    <mergeCell ref="A26:F26"/>
    <mergeCell ref="A31:D31"/>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314-4A15-47C5-9CDB-A798FA6069F7}">
  <sheetPr>
    <tabColor theme="7" tint="0.39997558519241921"/>
    <pageSetUpPr fitToPage="1"/>
  </sheetPr>
  <dimension ref="A1:G37"/>
  <sheetViews>
    <sheetView zoomScaleNormal="100" zoomScaleSheetLayoutView="115" workbookViewId="0">
      <selection activeCell="A7" sqref="A7"/>
    </sheetView>
  </sheetViews>
  <sheetFormatPr defaultColWidth="9.140625" defaultRowHeight="12.75"/>
  <cols>
    <col min="1" max="1" width="7.42578125" style="1351" customWidth="1"/>
    <col min="2" max="2" width="47.28515625" style="1351" customWidth="1"/>
    <col min="3" max="3" width="7.7109375" style="1351" customWidth="1"/>
    <col min="4" max="4" width="11.140625" style="1351" customWidth="1"/>
    <col min="5" max="5" width="9.28515625" style="1351" bestFit="1" customWidth="1"/>
    <col min="6" max="6" width="8.140625" style="1351" customWidth="1"/>
    <col min="7" max="7" width="10" style="1351" customWidth="1"/>
    <col min="8" max="8" width="2.7109375" style="1351" bestFit="1" customWidth="1"/>
    <col min="9" max="9" width="5.28515625" style="1351" bestFit="1" customWidth="1"/>
    <col min="10" max="10" width="5.140625" style="1351" customWidth="1"/>
    <col min="11" max="11" width="9.140625" style="1351" customWidth="1"/>
    <col min="12" max="12" width="14.28515625" style="1351" customWidth="1"/>
    <col min="13" max="16384" width="9.140625" style="1351"/>
  </cols>
  <sheetData>
    <row r="1" spans="1:7" s="1294" customFormat="1" ht="48.75" customHeight="1">
      <c r="A1" s="2323"/>
      <c r="B1" s="2324"/>
      <c r="C1" s="2324"/>
      <c r="D1" s="2324"/>
      <c r="E1" s="2324"/>
      <c r="F1" s="2324"/>
      <c r="G1" s="2325"/>
    </row>
    <row r="2" spans="1:7" s="1294" customFormat="1" ht="15.75">
      <c r="A2" s="2326" t="s">
        <v>18</v>
      </c>
      <c r="B2" s="2327"/>
      <c r="C2" s="2327"/>
      <c r="D2" s="2327"/>
      <c r="E2" s="2327"/>
      <c r="F2" s="2327"/>
      <c r="G2" s="2328"/>
    </row>
    <row r="3" spans="1:7" s="1294" customFormat="1" ht="15.75">
      <c r="A3" s="2326" t="s">
        <v>261</v>
      </c>
      <c r="B3" s="2327"/>
      <c r="C3" s="2327"/>
      <c r="D3" s="2327"/>
      <c r="E3" s="2327"/>
      <c r="F3" s="2327"/>
      <c r="G3" s="2328"/>
    </row>
    <row r="4" spans="1:7" s="1294" customFormat="1" ht="15.75">
      <c r="A4" s="2326" t="s">
        <v>17</v>
      </c>
      <c r="B4" s="2327"/>
      <c r="C4" s="2327"/>
      <c r="D4" s="2327"/>
      <c r="E4" s="2327"/>
      <c r="F4" s="2327"/>
      <c r="G4" s="2328"/>
    </row>
    <row r="5" spans="1:7" s="1294" customFormat="1" ht="19.5" thickBot="1">
      <c r="A5" s="2329" t="s">
        <v>1525</v>
      </c>
      <c r="B5" s="2330"/>
      <c r="C5" s="2330"/>
      <c r="D5" s="2330"/>
      <c r="E5" s="2330"/>
      <c r="F5" s="2330"/>
      <c r="G5" s="2331"/>
    </row>
    <row r="6" spans="1:7" s="1295" customFormat="1" ht="16.149999999999999" customHeight="1" thickTop="1" thickBot="1">
      <c r="A6" s="1327" t="s">
        <v>262</v>
      </c>
      <c r="B6" s="2332" t="s">
        <v>1535</v>
      </c>
      <c r="C6" s="2333"/>
      <c r="D6" s="2333"/>
      <c r="E6" s="2334"/>
      <c r="F6" s="1327" t="s">
        <v>1526</v>
      </c>
      <c r="G6" s="1328" t="s">
        <v>1536</v>
      </c>
    </row>
    <row r="7" spans="1:7" s="1295" customFormat="1" ht="24.75" thickTop="1">
      <c r="A7" s="1296" t="s">
        <v>1537</v>
      </c>
      <c r="B7" s="1329" t="s">
        <v>188</v>
      </c>
      <c r="C7" s="1297" t="s">
        <v>21</v>
      </c>
      <c r="D7" s="1297" t="s">
        <v>1527</v>
      </c>
      <c r="E7" s="1297" t="s">
        <v>1528</v>
      </c>
      <c r="F7" s="1298" t="s">
        <v>1529</v>
      </c>
      <c r="G7" s="1299"/>
    </row>
    <row r="8" spans="1:7" s="1295" customFormat="1" ht="19.899999999999999" customHeight="1">
      <c r="A8" s="1330">
        <v>88316</v>
      </c>
      <c r="B8" s="1331" t="s">
        <v>1533</v>
      </c>
      <c r="C8" s="1332" t="s">
        <v>229</v>
      </c>
      <c r="D8" s="1333">
        <v>2</v>
      </c>
      <c r="E8" s="1302">
        <v>19.22</v>
      </c>
      <c r="F8" s="2335">
        <f>ROUND(D8*E8,2)</f>
        <v>38.44</v>
      </c>
      <c r="G8" s="2336"/>
    </row>
    <row r="9" spans="1:7" s="1295" customFormat="1" ht="19.899999999999999" customHeight="1" thickBot="1">
      <c r="A9" s="1330">
        <v>88262</v>
      </c>
      <c r="B9" s="1331" t="s">
        <v>1538</v>
      </c>
      <c r="C9" s="1332" t="s">
        <v>229</v>
      </c>
      <c r="D9" s="1333">
        <v>1</v>
      </c>
      <c r="E9" s="1302">
        <v>23.61</v>
      </c>
      <c r="F9" s="2337">
        <f>ROUND(D9*E9,2)</f>
        <v>23.61</v>
      </c>
      <c r="G9" s="2338"/>
    </row>
    <row r="10" spans="1:7" s="1295" customFormat="1" ht="15" customHeight="1" thickBot="1">
      <c r="A10" s="1312"/>
      <c r="B10" s="1313"/>
      <c r="C10" s="1314"/>
      <c r="D10" s="1315" t="s">
        <v>190</v>
      </c>
      <c r="E10" s="1304"/>
      <c r="F10" s="2339">
        <f>SUM(F8:G9)</f>
        <v>62.05</v>
      </c>
      <c r="G10" s="2340"/>
    </row>
    <row r="11" spans="1:7" s="1295" customFormat="1" ht="19.899999999999999" customHeight="1">
      <c r="A11" s="1316" t="s">
        <v>186</v>
      </c>
      <c r="B11" s="1334" t="s">
        <v>1530</v>
      </c>
      <c r="C11" s="1306" t="s">
        <v>21</v>
      </c>
      <c r="D11" s="1305" t="s">
        <v>1531</v>
      </c>
      <c r="E11" s="1306" t="s">
        <v>1497</v>
      </c>
      <c r="F11" s="1307" t="s">
        <v>1529</v>
      </c>
      <c r="G11" s="1308"/>
    </row>
    <row r="12" spans="1:7" s="1295" customFormat="1" ht="36">
      <c r="A12" s="1339">
        <v>94962</v>
      </c>
      <c r="B12" s="1340" t="s">
        <v>1539</v>
      </c>
      <c r="C12" s="1341" t="s">
        <v>195</v>
      </c>
      <c r="D12" s="1342">
        <v>0.01</v>
      </c>
      <c r="E12" s="1343">
        <v>510.32</v>
      </c>
      <c r="F12" s="2321">
        <f>TRUNC(E12*D12,2)</f>
        <v>5.0999999999999996</v>
      </c>
      <c r="G12" s="2322"/>
    </row>
    <row r="13" spans="1:7" s="1295" customFormat="1" ht="24">
      <c r="A13" s="1300">
        <v>103670</v>
      </c>
      <c r="B13" s="1344" t="s">
        <v>1540</v>
      </c>
      <c r="C13" s="1301" t="s">
        <v>195</v>
      </c>
      <c r="D13" s="1345">
        <f>D12</f>
        <v>0.01</v>
      </c>
      <c r="E13" s="1346">
        <v>260.85000000000002</v>
      </c>
      <c r="F13" s="2321">
        <f t="shared" ref="F13:F20" si="0">TRUNC(E13*D13,2)</f>
        <v>2.6</v>
      </c>
      <c r="G13" s="2322"/>
    </row>
    <row r="14" spans="1:7" s="1295" customFormat="1" ht="24">
      <c r="A14" s="1300">
        <v>4491</v>
      </c>
      <c r="B14" s="1344" t="s">
        <v>745</v>
      </c>
      <c r="C14" s="1301" t="s">
        <v>504</v>
      </c>
      <c r="D14" s="1345">
        <v>4</v>
      </c>
      <c r="E14" s="1346">
        <v>10.87</v>
      </c>
      <c r="F14" s="2321">
        <f t="shared" si="0"/>
        <v>43.48</v>
      </c>
      <c r="G14" s="2322"/>
    </row>
    <row r="15" spans="1:7" s="1295" customFormat="1" ht="36">
      <c r="A15" s="1300">
        <v>4417</v>
      </c>
      <c r="B15" s="1344" t="s">
        <v>1541</v>
      </c>
      <c r="C15" s="1301" t="s">
        <v>504</v>
      </c>
      <c r="D15" s="1345">
        <v>1</v>
      </c>
      <c r="E15" s="1346">
        <v>6.53</v>
      </c>
      <c r="F15" s="2321">
        <f t="shared" si="0"/>
        <v>6.53</v>
      </c>
      <c r="G15" s="2322"/>
    </row>
    <row r="16" spans="1:7" s="1295" customFormat="1" ht="12">
      <c r="A16" s="1300">
        <v>5075</v>
      </c>
      <c r="B16" s="1344" t="s">
        <v>1542</v>
      </c>
      <c r="C16" s="1301" t="s">
        <v>282</v>
      </c>
      <c r="D16" s="1345">
        <v>0.11</v>
      </c>
      <c r="E16" s="1346">
        <v>23.58</v>
      </c>
      <c r="F16" s="2321">
        <f t="shared" si="0"/>
        <v>2.59</v>
      </c>
      <c r="G16" s="2322"/>
    </row>
    <row r="17" spans="1:7" s="1295" customFormat="1" ht="24">
      <c r="A17" s="1300">
        <v>4813</v>
      </c>
      <c r="B17" s="1344" t="s">
        <v>1543</v>
      </c>
      <c r="C17" s="1301" t="s">
        <v>280</v>
      </c>
      <c r="D17" s="1345">
        <v>1</v>
      </c>
      <c r="E17" s="1346">
        <v>250</v>
      </c>
      <c r="F17" s="2321">
        <f t="shared" si="0"/>
        <v>250</v>
      </c>
      <c r="G17" s="2322"/>
    </row>
    <row r="18" spans="1:7" s="1295" customFormat="1" ht="12">
      <c r="A18" s="1300"/>
      <c r="B18" s="1344"/>
      <c r="C18" s="1301"/>
      <c r="D18" s="1345"/>
      <c r="E18" s="1346"/>
      <c r="F18" s="2321">
        <f t="shared" si="0"/>
        <v>0</v>
      </c>
      <c r="G18" s="2322"/>
    </row>
    <row r="19" spans="1:7" s="1295" customFormat="1" ht="12">
      <c r="A19" s="1300"/>
      <c r="B19" s="1344"/>
      <c r="C19" s="1301"/>
      <c r="D19" s="1345"/>
      <c r="E19" s="1346"/>
      <c r="F19" s="2321">
        <f t="shared" si="0"/>
        <v>0</v>
      </c>
      <c r="G19" s="2322"/>
    </row>
    <row r="20" spans="1:7" s="1295" customFormat="1" ht="12">
      <c r="A20" s="1300"/>
      <c r="B20" s="1344"/>
      <c r="C20" s="1301"/>
      <c r="D20" s="1345"/>
      <c r="E20" s="1346"/>
      <c r="F20" s="2321">
        <f t="shared" si="0"/>
        <v>0</v>
      </c>
      <c r="G20" s="2322"/>
    </row>
    <row r="21" spans="1:7" s="1295" customFormat="1" ht="15" customHeight="1" thickBot="1">
      <c r="A21" s="1347" t="s">
        <v>192</v>
      </c>
      <c r="B21" s="1318"/>
      <c r="C21" s="1348"/>
      <c r="D21" s="1349" t="s">
        <v>193</v>
      </c>
      <c r="E21" s="1350"/>
      <c r="F21" s="2343">
        <f>SUM(F12:G20)</f>
        <v>310.3</v>
      </c>
      <c r="G21" s="2344"/>
    </row>
    <row r="22" spans="1:7" s="1295" customFormat="1" ht="19.899999999999999" customHeight="1">
      <c r="A22" s="1316" t="s">
        <v>186</v>
      </c>
      <c r="B22" s="1334" t="s">
        <v>1534</v>
      </c>
      <c r="C22" s="1306" t="s">
        <v>21</v>
      </c>
      <c r="D22" s="1305" t="s">
        <v>1531</v>
      </c>
      <c r="E22" s="1306" t="s">
        <v>1497</v>
      </c>
      <c r="F22" s="1307" t="s">
        <v>1529</v>
      </c>
      <c r="G22" s="1308"/>
    </row>
    <row r="23" spans="1:7" s="1295" customFormat="1" ht="12">
      <c r="A23" s="1335"/>
      <c r="B23" s="1336"/>
      <c r="C23" s="1310"/>
      <c r="D23" s="1317"/>
      <c r="E23" s="1311"/>
      <c r="F23" s="2341">
        <f t="shared" ref="F23:F32" si="1">ROUND(D23*E23,2)</f>
        <v>0</v>
      </c>
      <c r="G23" s="2342"/>
    </row>
    <row r="24" spans="1:7" s="1295" customFormat="1" ht="12">
      <c r="A24" s="1335"/>
      <c r="B24" s="1336"/>
      <c r="C24" s="1310"/>
      <c r="D24" s="1317"/>
      <c r="E24" s="1311"/>
      <c r="F24" s="2341">
        <f t="shared" si="1"/>
        <v>0</v>
      </c>
      <c r="G24" s="2342"/>
    </row>
    <row r="25" spans="1:7" s="1295" customFormat="1" ht="12" hidden="1">
      <c r="A25" s="1335"/>
      <c r="B25" s="1336"/>
      <c r="C25" s="1310"/>
      <c r="D25" s="1317"/>
      <c r="E25" s="1311"/>
      <c r="F25" s="2341">
        <f t="shared" si="1"/>
        <v>0</v>
      </c>
      <c r="G25" s="2342"/>
    </row>
    <row r="26" spans="1:7" s="1295" customFormat="1" ht="12" hidden="1">
      <c r="A26" s="1335"/>
      <c r="B26" s="1336"/>
      <c r="C26" s="1310"/>
      <c r="D26" s="1317"/>
      <c r="E26" s="1311"/>
      <c r="F26" s="2341">
        <f t="shared" si="1"/>
        <v>0</v>
      </c>
      <c r="G26" s="2342"/>
    </row>
    <row r="27" spans="1:7" s="1295" customFormat="1" ht="12" hidden="1">
      <c r="A27" s="1335"/>
      <c r="B27" s="1336"/>
      <c r="C27" s="1310"/>
      <c r="D27" s="1317"/>
      <c r="E27" s="1311"/>
      <c r="F27" s="2341">
        <f t="shared" si="1"/>
        <v>0</v>
      </c>
      <c r="G27" s="2342"/>
    </row>
    <row r="28" spans="1:7" s="1295" customFormat="1" ht="12" hidden="1">
      <c r="A28" s="1335"/>
      <c r="B28" s="1336"/>
      <c r="C28" s="1310"/>
      <c r="D28" s="1317"/>
      <c r="E28" s="1311"/>
      <c r="F28" s="2341">
        <f t="shared" si="1"/>
        <v>0</v>
      </c>
      <c r="G28" s="2342"/>
    </row>
    <row r="29" spans="1:7" s="1295" customFormat="1" ht="12" hidden="1">
      <c r="A29" s="1335"/>
      <c r="B29" s="1336"/>
      <c r="C29" s="1310"/>
      <c r="D29" s="1317"/>
      <c r="E29" s="1311"/>
      <c r="F29" s="2341">
        <f t="shared" si="1"/>
        <v>0</v>
      </c>
      <c r="G29" s="2342"/>
    </row>
    <row r="30" spans="1:7" s="1295" customFormat="1" ht="12" hidden="1">
      <c r="A30" s="1335"/>
      <c r="B30" s="1336"/>
      <c r="C30" s="1310"/>
      <c r="D30" s="1317"/>
      <c r="E30" s="1311"/>
      <c r="F30" s="2341">
        <f t="shared" si="1"/>
        <v>0</v>
      </c>
      <c r="G30" s="2342"/>
    </row>
    <row r="31" spans="1:7" s="1295" customFormat="1" ht="12" hidden="1">
      <c r="A31" s="1335"/>
      <c r="B31" s="1336"/>
      <c r="C31" s="1310"/>
      <c r="D31" s="1317"/>
      <c r="E31" s="1311"/>
      <c r="F31" s="2341">
        <f t="shared" si="1"/>
        <v>0</v>
      </c>
      <c r="G31" s="2342"/>
    </row>
    <row r="32" spans="1:7" s="1295" customFormat="1" thickBot="1">
      <c r="A32" s="1309"/>
      <c r="B32" s="1336"/>
      <c r="C32" s="1310"/>
      <c r="D32" s="1317"/>
      <c r="E32" s="1311"/>
      <c r="F32" s="2341">
        <f t="shared" si="1"/>
        <v>0</v>
      </c>
      <c r="G32" s="2342"/>
    </row>
    <row r="33" spans="1:7" s="1295" customFormat="1" ht="15" customHeight="1" thickBot="1">
      <c r="A33" s="1319" t="s">
        <v>192</v>
      </c>
      <c r="B33" s="1313"/>
      <c r="C33" s="1314"/>
      <c r="D33" s="1315" t="s">
        <v>196</v>
      </c>
      <c r="E33" s="1303"/>
      <c r="F33" s="2345">
        <f>SUM(F23:G32)</f>
        <v>0</v>
      </c>
      <c r="G33" s="2340"/>
    </row>
    <row r="34" spans="1:7" s="1295" customFormat="1" ht="19.899999999999999" customHeight="1">
      <c r="A34" s="1320" t="s">
        <v>1532</v>
      </c>
      <c r="B34" s="1313"/>
      <c r="C34" s="1314"/>
      <c r="D34" s="1313" t="s">
        <v>197</v>
      </c>
      <c r="E34" s="1313"/>
      <c r="F34" s="1313"/>
      <c r="G34" s="1321">
        <f>SUM(F10+F21+F33)</f>
        <v>372.35</v>
      </c>
    </row>
    <row r="35" spans="1:7" s="1295" customFormat="1" ht="19.899999999999999" customHeight="1" thickBot="1">
      <c r="A35" s="1322"/>
      <c r="B35" s="1323"/>
      <c r="C35" s="1314"/>
      <c r="D35" s="1338" t="s">
        <v>198</v>
      </c>
      <c r="E35" s="1324"/>
      <c r="F35" s="1325">
        <v>0.27460000000000001</v>
      </c>
      <c r="G35" s="1326">
        <f>F35*G34</f>
        <v>102.25</v>
      </c>
    </row>
    <row r="36" spans="1:7" s="1295" customFormat="1" ht="15" customHeight="1" thickBot="1">
      <c r="A36" s="2346" t="s">
        <v>199</v>
      </c>
      <c r="B36" s="2347"/>
      <c r="C36" s="2347"/>
      <c r="D36" s="2347"/>
      <c r="E36" s="2347"/>
      <c r="F36" s="2348"/>
      <c r="G36" s="1337">
        <f>SUM(G34:G35)</f>
        <v>474.6</v>
      </c>
    </row>
    <row r="37" spans="1:7" ht="13.5" thickTop="1"/>
  </sheetData>
  <mergeCells count="31">
    <mergeCell ref="F33:G33"/>
    <mergeCell ref="A36:F36"/>
    <mergeCell ref="F27:G27"/>
    <mergeCell ref="F28:G28"/>
    <mergeCell ref="F29:G29"/>
    <mergeCell ref="F30:G30"/>
    <mergeCell ref="F31:G31"/>
    <mergeCell ref="F32:G32"/>
    <mergeCell ref="F26:G26"/>
    <mergeCell ref="F14:G14"/>
    <mergeCell ref="F15:G15"/>
    <mergeCell ref="F16:G16"/>
    <mergeCell ref="F17:G17"/>
    <mergeCell ref="F18:G18"/>
    <mergeCell ref="F19:G19"/>
    <mergeCell ref="F20:G20"/>
    <mergeCell ref="F21:G21"/>
    <mergeCell ref="F23:G23"/>
    <mergeCell ref="F24:G24"/>
    <mergeCell ref="F25:G25"/>
    <mergeCell ref="F13:G13"/>
    <mergeCell ref="A1:G1"/>
    <mergeCell ref="A2:G2"/>
    <mergeCell ref="A3:G3"/>
    <mergeCell ref="A4:G4"/>
    <mergeCell ref="A5:G5"/>
    <mergeCell ref="B6:E6"/>
    <mergeCell ref="F8:G8"/>
    <mergeCell ref="F9:G9"/>
    <mergeCell ref="F10:G10"/>
    <mergeCell ref="F12:G12"/>
  </mergeCells>
  <printOptions horizontalCentered="1"/>
  <pageMargins left="0.51181102362204722" right="0.2" top="0.78740157480314965" bottom="0.78" header="0.31496062992125984" footer="0.31496062992125984"/>
  <pageSetup paperSize="9" scale="97" fitToHeight="0"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H39"/>
  <sheetViews>
    <sheetView view="pageBreakPreview" zoomScaleNormal="100" zoomScaleSheetLayoutView="100" workbookViewId="0">
      <selection activeCell="G34" sqref="G34"/>
    </sheetView>
  </sheetViews>
  <sheetFormatPr defaultColWidth="9.28515625" defaultRowHeight="14.25"/>
  <cols>
    <col min="1" max="2" width="10.7109375" style="235" customWidth="1"/>
    <col min="3" max="3" width="40.7109375" style="235" customWidth="1"/>
    <col min="4" max="4" width="10.7109375" style="235" customWidth="1"/>
    <col min="5" max="7" width="14.7109375" style="235" customWidth="1"/>
    <col min="8" max="16384" width="9.28515625" style="235"/>
  </cols>
  <sheetData>
    <row r="1" spans="1:8" s="232" customFormat="1" ht="15" customHeight="1">
      <c r="A1" s="2380"/>
      <c r="B1" s="2381"/>
      <c r="C1" s="2381"/>
      <c r="D1" s="2381"/>
      <c r="E1" s="2381"/>
      <c r="F1" s="2381"/>
      <c r="G1" s="2382"/>
    </row>
    <row r="2" spans="1:8" s="232" customFormat="1" ht="45.75" customHeight="1">
      <c r="A2" s="2355"/>
      <c r="B2" s="2356"/>
      <c r="C2" s="2356"/>
      <c r="D2" s="2356"/>
      <c r="E2" s="2356"/>
      <c r="F2" s="2356"/>
      <c r="G2" s="2357"/>
    </row>
    <row r="3" spans="1:8" s="232" customFormat="1" ht="15" customHeight="1">
      <c r="A3" s="2352" t="s">
        <v>18</v>
      </c>
      <c r="B3" s="2353"/>
      <c r="C3" s="2353"/>
      <c r="D3" s="2353"/>
      <c r="E3" s="2353"/>
      <c r="F3" s="2353"/>
      <c r="G3" s="2354"/>
    </row>
    <row r="4" spans="1:8" s="232" customFormat="1" ht="15" customHeight="1">
      <c r="A4" s="2355" t="s">
        <v>187</v>
      </c>
      <c r="B4" s="2356"/>
      <c r="C4" s="2356"/>
      <c r="D4" s="2356"/>
      <c r="E4" s="2356"/>
      <c r="F4" s="2356"/>
      <c r="G4" s="2357"/>
    </row>
    <row r="5" spans="1:8" s="232" customFormat="1" ht="15" customHeight="1">
      <c r="A5" s="2355" t="s">
        <v>17</v>
      </c>
      <c r="B5" s="2356"/>
      <c r="C5" s="2356"/>
      <c r="D5" s="2356"/>
      <c r="E5" s="2356"/>
      <c r="F5" s="2356"/>
      <c r="G5" s="2357"/>
    </row>
    <row r="6" spans="1:8" s="232" customFormat="1" ht="15" customHeight="1">
      <c r="A6" s="543"/>
      <c r="B6" s="550"/>
      <c r="C6" s="550"/>
      <c r="D6" s="550"/>
      <c r="E6" s="550"/>
      <c r="F6" s="550"/>
      <c r="G6" s="544"/>
    </row>
    <row r="7" spans="1:8" s="234" customFormat="1">
      <c r="A7" s="551" t="s">
        <v>700</v>
      </c>
      <c r="B7" s="2358" t="str">
        <f>'PLANILHA GERAL'!D9</f>
        <v>OBRAS DE PREVENÇÕES DE ALAGAMENTOS E CHEIAS, INFRAESTRUTURA URBANA E CONSTRUÇÕES DIVERSAS NO MUNICÍPIO DE ANANINDEUA/PA</v>
      </c>
      <c r="C7" s="2359"/>
      <c r="D7" s="2359"/>
      <c r="E7" s="2359"/>
      <c r="F7" s="2359"/>
      <c r="G7" s="2360"/>
    </row>
    <row r="8" spans="1:8" s="232" customFormat="1" ht="15" customHeight="1" thickBot="1">
      <c r="A8" s="233"/>
      <c r="B8" s="2361"/>
      <c r="C8" s="2361"/>
      <c r="D8" s="2361"/>
      <c r="E8" s="2361"/>
      <c r="F8" s="2361"/>
      <c r="G8" s="2362"/>
    </row>
    <row r="9" spans="1:8" s="234" customFormat="1" ht="24" customHeight="1" thickTop="1">
      <c r="A9" s="545" t="s">
        <v>185</v>
      </c>
      <c r="B9" s="547" t="s">
        <v>701</v>
      </c>
      <c r="C9" s="2349" t="s">
        <v>702</v>
      </c>
      <c r="D9" s="2350"/>
      <c r="E9" s="2350"/>
      <c r="F9" s="2351"/>
      <c r="G9" s="312" t="s">
        <v>566</v>
      </c>
    </row>
    <row r="10" spans="1:8" s="234" customFormat="1" ht="15" thickBot="1">
      <c r="A10" s="546" t="str">
        <f>'PLANILHA GERAL'!E21</f>
        <v>I</v>
      </c>
      <c r="B10" s="548">
        <v>45139</v>
      </c>
      <c r="C10" s="2400" t="str">
        <f>'PLANILHA GERAL'!F21</f>
        <v>Administração da obra</v>
      </c>
      <c r="D10" s="2401"/>
      <c r="E10" s="2401"/>
      <c r="F10" s="2402"/>
      <c r="G10" s="155" t="str">
        <f>'PLANILHA GERAL'!H21</f>
        <v>und.</v>
      </c>
    </row>
    <row r="11" spans="1:8" s="234" customFormat="1" ht="12.75" customHeight="1" thickTop="1">
      <c r="A11" s="2363"/>
      <c r="B11" s="2364"/>
      <c r="C11" s="2364"/>
      <c r="D11" s="2364"/>
      <c r="E11" s="2364"/>
      <c r="F11" s="2364"/>
      <c r="G11" s="2365"/>
    </row>
    <row r="12" spans="1:8" s="171" customFormat="1" ht="20.100000000000001" customHeight="1">
      <c r="A12" s="241" t="s">
        <v>35</v>
      </c>
      <c r="B12" s="242" t="s">
        <v>263</v>
      </c>
      <c r="C12" s="243" t="s">
        <v>699</v>
      </c>
      <c r="D12" s="242" t="s">
        <v>37</v>
      </c>
      <c r="E12" s="243" t="s">
        <v>151</v>
      </c>
      <c r="F12" s="244" t="s">
        <v>38</v>
      </c>
      <c r="G12" s="245" t="s">
        <v>703</v>
      </c>
      <c r="H12" s="165"/>
    </row>
    <row r="13" spans="1:8" s="234" customFormat="1" ht="20.100000000000001" customHeight="1">
      <c r="A13" s="2366" t="s">
        <v>34</v>
      </c>
      <c r="B13" s="2367"/>
      <c r="C13" s="2367"/>
      <c r="D13" s="2367"/>
      <c r="E13" s="2367"/>
      <c r="F13" s="2367"/>
      <c r="G13" s="2368"/>
    </row>
    <row r="14" spans="1:8" s="234" customFormat="1" ht="23.25" customHeight="1">
      <c r="A14" s="553">
        <v>1</v>
      </c>
      <c r="B14" s="462">
        <v>90778</v>
      </c>
      <c r="C14" s="554" t="s">
        <v>709</v>
      </c>
      <c r="D14" s="462" t="s">
        <v>229</v>
      </c>
      <c r="E14" s="573">
        <f>G34</f>
        <v>300</v>
      </c>
      <c r="F14" s="555">
        <v>112.94</v>
      </c>
      <c r="G14" s="556">
        <f>E14*F14</f>
        <v>33882</v>
      </c>
    </row>
    <row r="15" spans="1:8" s="234" customFormat="1" ht="23.25" customHeight="1">
      <c r="A15" s="553">
        <v>2</v>
      </c>
      <c r="B15" s="462">
        <v>90776</v>
      </c>
      <c r="C15" s="554" t="s">
        <v>710</v>
      </c>
      <c r="D15" s="462" t="s">
        <v>229</v>
      </c>
      <c r="E15" s="573">
        <f>G35</f>
        <v>1050</v>
      </c>
      <c r="F15" s="555">
        <v>20.81</v>
      </c>
      <c r="G15" s="556">
        <f>E15*F15</f>
        <v>21850.5</v>
      </c>
    </row>
    <row r="16" spans="1:8" s="234" customFormat="1" ht="20.100000000000001" customHeight="1">
      <c r="A16" s="2369" t="s">
        <v>563</v>
      </c>
      <c r="B16" s="2370"/>
      <c r="C16" s="2370"/>
      <c r="D16" s="2370"/>
      <c r="E16" s="2370"/>
      <c r="F16" s="2370"/>
      <c r="G16" s="557">
        <f>SUM(G14:G15)</f>
        <v>55732.5</v>
      </c>
    </row>
    <row r="17" spans="1:8" s="234" customFormat="1" ht="20.100000000000001" customHeight="1">
      <c r="A17" s="2371" t="s">
        <v>44</v>
      </c>
      <c r="B17" s="2372"/>
      <c r="C17" s="2372"/>
      <c r="D17" s="2372"/>
      <c r="E17" s="2372"/>
      <c r="F17" s="2372"/>
      <c r="G17" s="2373"/>
    </row>
    <row r="18" spans="1:8" s="234" customFormat="1" ht="20.100000000000001" customHeight="1">
      <c r="A18" s="553"/>
      <c r="B18" s="558"/>
      <c r="C18" s="559"/>
      <c r="D18" s="560"/>
      <c r="E18" s="561"/>
      <c r="F18" s="562"/>
      <c r="G18" s="556">
        <f>E18*F18</f>
        <v>0</v>
      </c>
    </row>
    <row r="19" spans="1:8" s="234" customFormat="1" ht="20.100000000000001" customHeight="1">
      <c r="A19" s="2369" t="s">
        <v>564</v>
      </c>
      <c r="B19" s="2370"/>
      <c r="C19" s="2370"/>
      <c r="D19" s="2370"/>
      <c r="E19" s="2370"/>
      <c r="F19" s="2370"/>
      <c r="G19" s="557">
        <f>SUM(G18:G18)</f>
        <v>0</v>
      </c>
    </row>
    <row r="20" spans="1:8" s="234" customFormat="1" ht="20.100000000000001" customHeight="1">
      <c r="A20" s="2390" t="s">
        <v>46</v>
      </c>
      <c r="B20" s="2391"/>
      <c r="C20" s="2391"/>
      <c r="D20" s="2391"/>
      <c r="E20" s="2391"/>
      <c r="F20" s="2391"/>
      <c r="G20" s="2392"/>
    </row>
    <row r="21" spans="1:8" s="234" customFormat="1" ht="20.100000000000001" customHeight="1">
      <c r="A21" s="553"/>
      <c r="B21" s="558"/>
      <c r="C21" s="563"/>
      <c r="D21" s="560"/>
      <c r="E21" s="564"/>
      <c r="F21" s="562"/>
      <c r="G21" s="556">
        <f>E21*F21</f>
        <v>0</v>
      </c>
    </row>
    <row r="22" spans="1:8" s="234" customFormat="1" ht="20.100000000000001" customHeight="1">
      <c r="A22" s="2369" t="s">
        <v>565</v>
      </c>
      <c r="B22" s="2370"/>
      <c r="C22" s="2370"/>
      <c r="D22" s="2370"/>
      <c r="E22" s="2370"/>
      <c r="F22" s="2370"/>
      <c r="G22" s="557">
        <f>SUM(G21:G21)</f>
        <v>0</v>
      </c>
    </row>
    <row r="23" spans="1:8" s="171" customFormat="1" ht="20.100000000000001" customHeight="1">
      <c r="A23" s="2393" t="s">
        <v>48</v>
      </c>
      <c r="B23" s="2394"/>
      <c r="C23" s="2394"/>
      <c r="D23" s="2394"/>
      <c r="E23" s="2394"/>
      <c r="F23" s="2394"/>
      <c r="G23" s="2395"/>
      <c r="H23" s="165"/>
    </row>
    <row r="24" spans="1:8" s="171" customFormat="1" ht="20.100000000000001" customHeight="1">
      <c r="A24" s="156" t="s">
        <v>35</v>
      </c>
      <c r="B24" s="157"/>
      <c r="C24" s="157" t="s">
        <v>49</v>
      </c>
      <c r="D24" s="2396" t="s">
        <v>704</v>
      </c>
      <c r="E24" s="2397"/>
      <c r="F24" s="2397"/>
      <c r="G24" s="2398"/>
      <c r="H24" s="165"/>
    </row>
    <row r="25" spans="1:8" s="171" customFormat="1" ht="20.100000000000001" customHeight="1">
      <c r="A25" s="156" t="s">
        <v>50</v>
      </c>
      <c r="B25" s="157"/>
      <c r="C25" s="157" t="s">
        <v>51</v>
      </c>
      <c r="D25" s="2383" t="s">
        <v>52</v>
      </c>
      <c r="E25" s="2383"/>
      <c r="F25" s="2383"/>
      <c r="G25" s="158">
        <f>G16</f>
        <v>55732.5</v>
      </c>
      <c r="H25" s="165"/>
    </row>
    <row r="26" spans="1:8" s="171" customFormat="1" ht="20.100000000000001" customHeight="1">
      <c r="A26" s="156" t="s">
        <v>53</v>
      </c>
      <c r="B26" s="157"/>
      <c r="C26" s="157" t="s">
        <v>54</v>
      </c>
      <c r="D26" s="2383" t="s">
        <v>55</v>
      </c>
      <c r="E26" s="2383"/>
      <c r="F26" s="2383"/>
      <c r="G26" s="158">
        <f>G19</f>
        <v>0</v>
      </c>
      <c r="H26" s="165"/>
    </row>
    <row r="27" spans="1:8" s="171" customFormat="1" ht="20.100000000000001" customHeight="1">
      <c r="A27" s="156" t="s">
        <v>14</v>
      </c>
      <c r="B27" s="157"/>
      <c r="C27" s="157" t="s">
        <v>56</v>
      </c>
      <c r="D27" s="2383" t="s">
        <v>57</v>
      </c>
      <c r="E27" s="2383"/>
      <c r="F27" s="2383"/>
      <c r="G27" s="158">
        <f>G22</f>
        <v>0</v>
      </c>
      <c r="H27" s="165"/>
    </row>
    <row r="28" spans="1:8" s="171" customFormat="1" ht="20.100000000000001" customHeight="1">
      <c r="A28" s="156" t="s">
        <v>7</v>
      </c>
      <c r="B28" s="157"/>
      <c r="C28" s="565" t="s">
        <v>58</v>
      </c>
      <c r="D28" s="2384" t="s">
        <v>59</v>
      </c>
      <c r="E28" s="2384"/>
      <c r="F28" s="2384"/>
      <c r="G28" s="566">
        <f>G25+G26+G27</f>
        <v>55732.5</v>
      </c>
      <c r="H28" s="165"/>
    </row>
    <row r="29" spans="1:8" s="171" customFormat="1" ht="20.100000000000001" customHeight="1">
      <c r="A29" s="156"/>
      <c r="B29" s="157"/>
      <c r="C29" s="565"/>
      <c r="D29" s="2385" t="s">
        <v>198</v>
      </c>
      <c r="E29" s="2386"/>
      <c r="F29" s="567">
        <v>0.27460000000000001</v>
      </c>
      <c r="G29" s="159">
        <f>G28*F29</f>
        <v>15304.14</v>
      </c>
      <c r="H29" s="165"/>
    </row>
    <row r="30" spans="1:8" s="171" customFormat="1" ht="20.100000000000001" customHeight="1" thickBot="1">
      <c r="A30" s="2387" t="s">
        <v>61</v>
      </c>
      <c r="B30" s="2388"/>
      <c r="C30" s="2388"/>
      <c r="D30" s="2388"/>
      <c r="E30" s="2388"/>
      <c r="F30" s="2389"/>
      <c r="G30" s="160">
        <f>G28+G29</f>
        <v>71036.639999999999</v>
      </c>
      <c r="H30" s="165"/>
    </row>
    <row r="31" spans="1:8" s="234" customFormat="1" ht="20.100000000000001" customHeight="1">
      <c r="A31" s="568"/>
      <c r="B31" s="569"/>
      <c r="C31" s="569"/>
      <c r="D31" s="570"/>
      <c r="E31" s="569"/>
      <c r="F31" s="569"/>
      <c r="G31" s="571"/>
    </row>
    <row r="32" spans="1:8" ht="20.100000000000001" customHeight="1">
      <c r="A32" s="2399" t="s">
        <v>705</v>
      </c>
      <c r="B32" s="2399"/>
      <c r="C32" s="2399"/>
      <c r="D32" s="2399"/>
      <c r="E32" s="2399"/>
      <c r="F32" s="2399"/>
      <c r="G32" s="2399"/>
    </row>
    <row r="33" spans="1:7" ht="20.100000000000001" customHeight="1">
      <c r="A33" s="156" t="s">
        <v>35</v>
      </c>
      <c r="B33" s="2374" t="s">
        <v>708</v>
      </c>
      <c r="C33" s="2375"/>
      <c r="D33" s="239" t="s">
        <v>234</v>
      </c>
      <c r="E33" s="239" t="s">
        <v>235</v>
      </c>
      <c r="F33" s="239" t="s">
        <v>706</v>
      </c>
      <c r="G33" s="240" t="s">
        <v>707</v>
      </c>
    </row>
    <row r="34" spans="1:7" ht="20.100000000000001" customHeight="1">
      <c r="A34" s="239">
        <v>1</v>
      </c>
      <c r="B34" s="2376" t="s">
        <v>357</v>
      </c>
      <c r="C34" s="2377"/>
      <c r="D34" s="510">
        <v>2</v>
      </c>
      <c r="E34" s="510">
        <v>25</v>
      </c>
      <c r="F34" s="510">
        <v>6</v>
      </c>
      <c r="G34" s="511">
        <f>ROUND((D34*E34*F34),2)</f>
        <v>300</v>
      </c>
    </row>
    <row r="35" spans="1:7" ht="20.100000000000001" customHeight="1">
      <c r="A35" s="239">
        <v>2</v>
      </c>
      <c r="B35" s="2378" t="s">
        <v>358</v>
      </c>
      <c r="C35" s="2379"/>
      <c r="D35" s="510">
        <v>7</v>
      </c>
      <c r="E35" s="510">
        <v>25</v>
      </c>
      <c r="F35" s="510">
        <v>6</v>
      </c>
      <c r="G35" s="511">
        <f>ROUND((D35*E35*F35),2)</f>
        <v>1050</v>
      </c>
    </row>
    <row r="36" spans="1:7" ht="20.100000000000001" customHeight="1"/>
    <row r="37" spans="1:7" ht="20.100000000000001" customHeight="1"/>
    <row r="38" spans="1:7" ht="20.100000000000001" customHeight="1"/>
    <row r="39" spans="1:7" ht="20.100000000000001" customHeight="1"/>
  </sheetData>
  <mergeCells count="27">
    <mergeCell ref="B33:C33"/>
    <mergeCell ref="B34:C34"/>
    <mergeCell ref="B35:C35"/>
    <mergeCell ref="A1:G2"/>
    <mergeCell ref="D26:F26"/>
    <mergeCell ref="D27:F27"/>
    <mergeCell ref="D28:F28"/>
    <mergeCell ref="D29:E29"/>
    <mergeCell ref="A30:F30"/>
    <mergeCell ref="A20:G20"/>
    <mergeCell ref="A22:F22"/>
    <mergeCell ref="A23:G23"/>
    <mergeCell ref="D24:G24"/>
    <mergeCell ref="D25:F25"/>
    <mergeCell ref="A32:G32"/>
    <mergeCell ref="C10:F10"/>
    <mergeCell ref="A11:G11"/>
    <mergeCell ref="A13:G13"/>
    <mergeCell ref="A16:F16"/>
    <mergeCell ref="A17:G17"/>
    <mergeCell ref="A19:F19"/>
    <mergeCell ref="C9:F9"/>
    <mergeCell ref="A3:G3"/>
    <mergeCell ref="A4:G4"/>
    <mergeCell ref="A5:G5"/>
    <mergeCell ref="B7:G7"/>
    <mergeCell ref="B8:G8"/>
  </mergeCells>
  <pageMargins left="0.511811024" right="0.511811024" top="0.78740157499999996" bottom="0.78740157499999996" header="0.31496062000000002" footer="0.31496062000000002"/>
  <pageSetup paperSize="9" scale="79" orientation="portrait" r:id="rId1"/>
  <colBreaks count="1" manualBreakCount="1">
    <brk id="7" max="1048575" man="1"/>
  </col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H39"/>
  <sheetViews>
    <sheetView view="pageBreakPreview" topLeftCell="A19" zoomScaleNormal="100" zoomScaleSheetLayoutView="100" workbookViewId="0">
      <selection activeCell="A10" sqref="A10"/>
    </sheetView>
  </sheetViews>
  <sheetFormatPr defaultColWidth="9.28515625" defaultRowHeight="14.25"/>
  <cols>
    <col min="1" max="2" width="10.7109375" style="235" customWidth="1"/>
    <col min="3" max="3" width="40.7109375" style="235" customWidth="1"/>
    <col min="4" max="4" width="10.7109375" style="235" customWidth="1"/>
    <col min="5" max="7" width="14.7109375" style="235" customWidth="1"/>
    <col min="8" max="16384" width="9.28515625" style="235"/>
  </cols>
  <sheetData>
    <row r="1" spans="1:8" s="232" customFormat="1" ht="15" customHeight="1">
      <c r="A1" s="2380"/>
      <c r="B1" s="2381"/>
      <c r="C1" s="2381"/>
      <c r="D1" s="2381"/>
      <c r="E1" s="2381"/>
      <c r="F1" s="2381"/>
      <c r="G1" s="2382"/>
    </row>
    <row r="2" spans="1:8" s="232" customFormat="1" ht="45.75" customHeight="1">
      <c r="A2" s="2355"/>
      <c r="B2" s="2356"/>
      <c r="C2" s="2356"/>
      <c r="D2" s="2356"/>
      <c r="E2" s="2356"/>
      <c r="F2" s="2356"/>
      <c r="G2" s="2357"/>
    </row>
    <row r="3" spans="1:8" s="232" customFormat="1" ht="15" customHeight="1">
      <c r="A3" s="2352" t="s">
        <v>18</v>
      </c>
      <c r="B3" s="2353"/>
      <c r="C3" s="2353"/>
      <c r="D3" s="2353"/>
      <c r="E3" s="2353"/>
      <c r="F3" s="2353"/>
      <c r="G3" s="2354"/>
    </row>
    <row r="4" spans="1:8" s="232" customFormat="1" ht="15" customHeight="1">
      <c r="A4" s="2355" t="s">
        <v>187</v>
      </c>
      <c r="B4" s="2356"/>
      <c r="C4" s="2356"/>
      <c r="D4" s="2356"/>
      <c r="E4" s="2356"/>
      <c r="F4" s="2356"/>
      <c r="G4" s="2357"/>
    </row>
    <row r="5" spans="1:8" s="232" customFormat="1" ht="15" customHeight="1">
      <c r="A5" s="2355" t="s">
        <v>17</v>
      </c>
      <c r="B5" s="2356"/>
      <c r="C5" s="2356"/>
      <c r="D5" s="2356"/>
      <c r="E5" s="2356"/>
      <c r="F5" s="2356"/>
      <c r="G5" s="2357"/>
    </row>
    <row r="6" spans="1:8" s="232" customFormat="1" ht="15" customHeight="1">
      <c r="A6" s="543"/>
      <c r="B6" s="550"/>
      <c r="C6" s="550"/>
      <c r="D6" s="550"/>
      <c r="E6" s="550"/>
      <c r="F6" s="550"/>
      <c r="G6" s="544"/>
    </row>
    <row r="7" spans="1:8" s="234" customFormat="1" ht="27.75" customHeight="1">
      <c r="A7" s="551" t="s">
        <v>700</v>
      </c>
      <c r="B7" s="2358" t="str">
        <f>'PLANILHA GERAL'!D9</f>
        <v>OBRAS DE PREVENÇÕES DE ALAGAMENTOS E CHEIAS, INFRAESTRUTURA URBANA E CONSTRUÇÕES DIVERSAS NO MUNICÍPIO DE ANANINDEUA/PA</v>
      </c>
      <c r="C7" s="2359"/>
      <c r="D7" s="2359"/>
      <c r="E7" s="2359"/>
      <c r="F7" s="2359"/>
      <c r="G7" s="2360"/>
    </row>
    <row r="8" spans="1:8" s="232" customFormat="1" ht="15" customHeight="1" thickBot="1">
      <c r="A8" s="233"/>
      <c r="B8" s="2361"/>
      <c r="C8" s="2361"/>
      <c r="D8" s="2361"/>
      <c r="E8" s="2361"/>
      <c r="F8" s="2361"/>
      <c r="G8" s="2362"/>
    </row>
    <row r="9" spans="1:8" s="234" customFormat="1" ht="24" customHeight="1" thickTop="1">
      <c r="A9" s="545" t="s">
        <v>185</v>
      </c>
      <c r="B9" s="547" t="s">
        <v>701</v>
      </c>
      <c r="C9" s="2349" t="s">
        <v>702</v>
      </c>
      <c r="D9" s="2350"/>
      <c r="E9" s="2350"/>
      <c r="F9" s="2351"/>
      <c r="G9" s="312" t="s">
        <v>566</v>
      </c>
    </row>
    <row r="10" spans="1:8" s="234" customFormat="1" ht="15" thickBot="1">
      <c r="A10" s="546" t="str">
        <f>'PLANILHA GERAL'!E22</f>
        <v>I</v>
      </c>
      <c r="B10" s="548">
        <v>45413</v>
      </c>
      <c r="C10" s="2400" t="str">
        <f>'PLANILHA GERAL'!F22</f>
        <v>Locação de rede com auxílio de equipamento topográfico</v>
      </c>
      <c r="D10" s="2401"/>
      <c r="E10" s="2401"/>
      <c r="F10" s="2402"/>
      <c r="G10" s="155" t="str">
        <f>'PLANILHA GERAL'!H22</f>
        <v>und.</v>
      </c>
    </row>
    <row r="11" spans="1:8" s="234" customFormat="1" ht="12.75" customHeight="1" thickTop="1">
      <c r="A11" s="2363"/>
      <c r="B11" s="2364"/>
      <c r="C11" s="2364"/>
      <c r="D11" s="2364"/>
      <c r="E11" s="2364"/>
      <c r="F11" s="2364"/>
      <c r="G11" s="2365"/>
    </row>
    <row r="12" spans="1:8" s="171" customFormat="1" ht="20.100000000000001" customHeight="1">
      <c r="A12" s="241" t="s">
        <v>35</v>
      </c>
      <c r="B12" s="242" t="s">
        <v>263</v>
      </c>
      <c r="C12" s="243" t="s">
        <v>699</v>
      </c>
      <c r="D12" s="242" t="s">
        <v>37</v>
      </c>
      <c r="E12" s="243" t="s">
        <v>151</v>
      </c>
      <c r="F12" s="244" t="s">
        <v>38</v>
      </c>
      <c r="G12" s="245" t="s">
        <v>703</v>
      </c>
      <c r="H12" s="165"/>
    </row>
    <row r="13" spans="1:8" s="234" customFormat="1" ht="20.100000000000001" customHeight="1">
      <c r="A13" s="2366" t="s">
        <v>34</v>
      </c>
      <c r="B13" s="2367"/>
      <c r="C13" s="2367"/>
      <c r="D13" s="2367"/>
      <c r="E13" s="2367"/>
      <c r="F13" s="2367"/>
      <c r="G13" s="2368"/>
    </row>
    <row r="14" spans="1:8" s="234" customFormat="1" ht="23.25" customHeight="1">
      <c r="A14" s="553">
        <v>1</v>
      </c>
      <c r="B14" s="238">
        <v>15.95</v>
      </c>
      <c r="C14" s="554" t="s">
        <v>40</v>
      </c>
      <c r="D14" s="462" t="s">
        <v>229</v>
      </c>
      <c r="E14" s="573">
        <f>G34</f>
        <v>600</v>
      </c>
      <c r="F14" s="555">
        <v>32.85</v>
      </c>
      <c r="G14" s="556">
        <f>E14*F14</f>
        <v>19710</v>
      </c>
    </row>
    <row r="15" spans="1:8" s="234" customFormat="1" ht="23.25" customHeight="1">
      <c r="A15" s="553">
        <v>2</v>
      </c>
      <c r="B15" s="238" t="s">
        <v>232</v>
      </c>
      <c r="C15" s="554" t="s">
        <v>233</v>
      </c>
      <c r="D15" s="462" t="s">
        <v>229</v>
      </c>
      <c r="E15" s="573">
        <f>G35</f>
        <v>600</v>
      </c>
      <c r="F15" s="555">
        <v>15.95</v>
      </c>
      <c r="G15" s="556">
        <f>E15*F15</f>
        <v>9570</v>
      </c>
    </row>
    <row r="16" spans="1:8" s="234" customFormat="1" ht="20.100000000000001" customHeight="1">
      <c r="A16" s="2369" t="s">
        <v>563</v>
      </c>
      <c r="B16" s="2370"/>
      <c r="C16" s="2370"/>
      <c r="D16" s="2370"/>
      <c r="E16" s="2370"/>
      <c r="F16" s="2370"/>
      <c r="G16" s="557">
        <f>SUM(G14:G15)</f>
        <v>29280</v>
      </c>
    </row>
    <row r="17" spans="1:8" s="234" customFormat="1" ht="20.100000000000001" customHeight="1">
      <c r="A17" s="2371" t="s">
        <v>44</v>
      </c>
      <c r="B17" s="2372"/>
      <c r="C17" s="2372"/>
      <c r="D17" s="2372"/>
      <c r="E17" s="2372"/>
      <c r="F17" s="2372"/>
      <c r="G17" s="2373"/>
    </row>
    <row r="18" spans="1:8" s="234" customFormat="1" ht="20.100000000000001" customHeight="1">
      <c r="A18" s="553"/>
      <c r="B18" s="558"/>
      <c r="C18" s="559"/>
      <c r="D18" s="560"/>
      <c r="E18" s="561"/>
      <c r="F18" s="562"/>
      <c r="G18" s="556">
        <f>E18*F18</f>
        <v>0</v>
      </c>
    </row>
    <row r="19" spans="1:8" s="234" customFormat="1" ht="20.100000000000001" customHeight="1">
      <c r="A19" s="2369" t="s">
        <v>564</v>
      </c>
      <c r="B19" s="2370"/>
      <c r="C19" s="2370"/>
      <c r="D19" s="2370"/>
      <c r="E19" s="2370"/>
      <c r="F19" s="2370"/>
      <c r="G19" s="557">
        <f>SUM(G18:G18)</f>
        <v>0</v>
      </c>
    </row>
    <row r="20" spans="1:8" s="234" customFormat="1" ht="20.100000000000001" customHeight="1">
      <c r="A20" s="2390" t="s">
        <v>46</v>
      </c>
      <c r="B20" s="2391"/>
      <c r="C20" s="2391"/>
      <c r="D20" s="2391"/>
      <c r="E20" s="2391"/>
      <c r="F20" s="2391"/>
      <c r="G20" s="2392"/>
    </row>
    <row r="21" spans="1:8" s="234" customFormat="1" ht="20.100000000000001" customHeight="1">
      <c r="A21" s="553"/>
      <c r="B21" s="558"/>
      <c r="C21" s="563"/>
      <c r="D21" s="560"/>
      <c r="E21" s="564"/>
      <c r="F21" s="562"/>
      <c r="G21" s="556">
        <f>E21*F21</f>
        <v>0</v>
      </c>
    </row>
    <row r="22" spans="1:8" s="234" customFormat="1" ht="20.100000000000001" customHeight="1">
      <c r="A22" s="2369" t="s">
        <v>565</v>
      </c>
      <c r="B22" s="2370"/>
      <c r="C22" s="2370"/>
      <c r="D22" s="2370"/>
      <c r="E22" s="2370"/>
      <c r="F22" s="2370"/>
      <c r="G22" s="557">
        <f>SUM(G21:G21)</f>
        <v>0</v>
      </c>
    </row>
    <row r="23" spans="1:8" s="171" customFormat="1" ht="20.100000000000001" customHeight="1">
      <c r="A23" s="2393" t="s">
        <v>48</v>
      </c>
      <c r="B23" s="2394"/>
      <c r="C23" s="2394"/>
      <c r="D23" s="2394"/>
      <c r="E23" s="2394"/>
      <c r="F23" s="2394"/>
      <c r="G23" s="2395"/>
      <c r="H23" s="165"/>
    </row>
    <row r="24" spans="1:8" s="171" customFormat="1" ht="20.100000000000001" customHeight="1">
      <c r="A24" s="156" t="s">
        <v>35</v>
      </c>
      <c r="B24" s="157"/>
      <c r="C24" s="157" t="s">
        <v>49</v>
      </c>
      <c r="D24" s="2396" t="s">
        <v>704</v>
      </c>
      <c r="E24" s="2397"/>
      <c r="F24" s="2397"/>
      <c r="G24" s="2398"/>
      <c r="H24" s="165"/>
    </row>
    <row r="25" spans="1:8" s="171" customFormat="1" ht="20.100000000000001" customHeight="1">
      <c r="A25" s="156" t="s">
        <v>50</v>
      </c>
      <c r="B25" s="157"/>
      <c r="C25" s="157" t="s">
        <v>51</v>
      </c>
      <c r="D25" s="2383" t="s">
        <v>52</v>
      </c>
      <c r="E25" s="2383"/>
      <c r="F25" s="2383"/>
      <c r="G25" s="158">
        <f>G16</f>
        <v>29280</v>
      </c>
      <c r="H25" s="165"/>
    </row>
    <row r="26" spans="1:8" s="171" customFormat="1" ht="20.100000000000001" customHeight="1">
      <c r="A26" s="156" t="s">
        <v>53</v>
      </c>
      <c r="B26" s="157"/>
      <c r="C26" s="157" t="s">
        <v>54</v>
      </c>
      <c r="D26" s="2383" t="s">
        <v>55</v>
      </c>
      <c r="E26" s="2383"/>
      <c r="F26" s="2383"/>
      <c r="G26" s="158">
        <f>G19</f>
        <v>0</v>
      </c>
      <c r="H26" s="165"/>
    </row>
    <row r="27" spans="1:8" s="171" customFormat="1" ht="20.100000000000001" customHeight="1">
      <c r="A27" s="156" t="s">
        <v>14</v>
      </c>
      <c r="B27" s="157"/>
      <c r="C27" s="157" t="s">
        <v>56</v>
      </c>
      <c r="D27" s="2383" t="s">
        <v>57</v>
      </c>
      <c r="E27" s="2383"/>
      <c r="F27" s="2383"/>
      <c r="G27" s="158">
        <f>G22</f>
        <v>0</v>
      </c>
      <c r="H27" s="165"/>
    </row>
    <row r="28" spans="1:8" s="171" customFormat="1" ht="20.100000000000001" customHeight="1">
      <c r="A28" s="156" t="s">
        <v>7</v>
      </c>
      <c r="B28" s="157"/>
      <c r="C28" s="565" t="s">
        <v>58</v>
      </c>
      <c r="D28" s="2384" t="s">
        <v>59</v>
      </c>
      <c r="E28" s="2384"/>
      <c r="F28" s="2384"/>
      <c r="G28" s="566">
        <f>G25+G26+G27</f>
        <v>29280</v>
      </c>
      <c r="H28" s="165"/>
    </row>
    <row r="29" spans="1:8" s="171" customFormat="1" ht="20.100000000000001" customHeight="1">
      <c r="A29" s="156"/>
      <c r="B29" s="157"/>
      <c r="C29" s="565"/>
      <c r="D29" s="2385" t="s">
        <v>198</v>
      </c>
      <c r="E29" s="2386"/>
      <c r="F29" s="567">
        <v>0.27460000000000001</v>
      </c>
      <c r="G29" s="159">
        <f>G28*F29</f>
        <v>8040.29</v>
      </c>
      <c r="H29" s="165"/>
    </row>
    <row r="30" spans="1:8" s="171" customFormat="1" ht="20.100000000000001" customHeight="1" thickBot="1">
      <c r="A30" s="2387" t="s">
        <v>61</v>
      </c>
      <c r="B30" s="2388"/>
      <c r="C30" s="2388"/>
      <c r="D30" s="2388"/>
      <c r="E30" s="2388"/>
      <c r="F30" s="2389"/>
      <c r="G30" s="160">
        <f>G28+G29</f>
        <v>37320.29</v>
      </c>
      <c r="H30" s="165"/>
    </row>
    <row r="31" spans="1:8" s="234" customFormat="1" ht="20.100000000000001" customHeight="1">
      <c r="A31" s="568"/>
      <c r="B31" s="569"/>
      <c r="C31" s="569"/>
      <c r="D31" s="570"/>
      <c r="E31" s="569"/>
      <c r="F31" s="569"/>
      <c r="G31" s="571"/>
    </row>
    <row r="32" spans="1:8" ht="20.100000000000001" customHeight="1">
      <c r="A32" s="2399" t="s">
        <v>705</v>
      </c>
      <c r="B32" s="2399"/>
      <c r="C32" s="2399"/>
      <c r="D32" s="2399"/>
      <c r="E32" s="2399"/>
      <c r="F32" s="2399"/>
      <c r="G32" s="2399"/>
    </row>
    <row r="33" spans="1:7" ht="20.100000000000001" customHeight="1">
      <c r="A33" s="156" t="s">
        <v>35</v>
      </c>
      <c r="B33" s="2374" t="s">
        <v>708</v>
      </c>
      <c r="C33" s="2375"/>
      <c r="D33" s="239" t="s">
        <v>234</v>
      </c>
      <c r="E33" s="239" t="s">
        <v>235</v>
      </c>
      <c r="F33" s="239" t="s">
        <v>706</v>
      </c>
      <c r="G33" s="240" t="s">
        <v>707</v>
      </c>
    </row>
    <row r="34" spans="1:7" ht="20.100000000000001" customHeight="1">
      <c r="A34" s="239">
        <v>1</v>
      </c>
      <c r="B34" s="2376" t="s">
        <v>711</v>
      </c>
      <c r="C34" s="2377"/>
      <c r="D34" s="510">
        <v>4</v>
      </c>
      <c r="E34" s="510">
        <v>25</v>
      </c>
      <c r="F34" s="510">
        <v>6</v>
      </c>
      <c r="G34" s="511">
        <f>ROUND((D34*E34*F34),2)</f>
        <v>600</v>
      </c>
    </row>
    <row r="35" spans="1:7" ht="20.100000000000001" customHeight="1">
      <c r="A35" s="239">
        <v>2</v>
      </c>
      <c r="B35" s="2378" t="s">
        <v>712</v>
      </c>
      <c r="C35" s="2379"/>
      <c r="D35" s="510">
        <v>4</v>
      </c>
      <c r="E35" s="510">
        <v>25</v>
      </c>
      <c r="F35" s="510">
        <v>6</v>
      </c>
      <c r="G35" s="511">
        <f>ROUND((D35*E35*F35),2)</f>
        <v>600</v>
      </c>
    </row>
    <row r="36" spans="1:7" ht="20.100000000000001" customHeight="1"/>
    <row r="37" spans="1:7" ht="20.100000000000001" customHeight="1"/>
    <row r="38" spans="1:7" ht="20.100000000000001" customHeight="1"/>
    <row r="39" spans="1:7" ht="20.100000000000001" customHeight="1"/>
  </sheetData>
  <mergeCells count="27">
    <mergeCell ref="B33:C33"/>
    <mergeCell ref="B34:C34"/>
    <mergeCell ref="B35:C35"/>
    <mergeCell ref="D26:F26"/>
    <mergeCell ref="D27:F27"/>
    <mergeCell ref="D28:F28"/>
    <mergeCell ref="D29:E29"/>
    <mergeCell ref="A30:F30"/>
    <mergeCell ref="A32:G32"/>
    <mergeCell ref="D25:F25"/>
    <mergeCell ref="C9:F9"/>
    <mergeCell ref="C10:F10"/>
    <mergeCell ref="A11:G11"/>
    <mergeCell ref="A13:G13"/>
    <mergeCell ref="A16:F16"/>
    <mergeCell ref="A17:G17"/>
    <mergeCell ref="A19:F19"/>
    <mergeCell ref="A20:G20"/>
    <mergeCell ref="A22:F22"/>
    <mergeCell ref="A23:G23"/>
    <mergeCell ref="D24:G24"/>
    <mergeCell ref="B8:G8"/>
    <mergeCell ref="A1:G2"/>
    <mergeCell ref="A3:G3"/>
    <mergeCell ref="A4:G4"/>
    <mergeCell ref="A5:G5"/>
    <mergeCell ref="B7:G7"/>
  </mergeCells>
  <pageMargins left="0.511811024" right="0.511811024" top="0.78740157499999996" bottom="0.78740157499999996" header="0.31496062000000002" footer="0.31496062000000002"/>
  <pageSetup paperSize="9" scale="79" orientation="portrait" r:id="rId1"/>
  <colBreaks count="1" manualBreakCount="1">
    <brk id="7" max="1048575" man="1"/>
  </col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H56"/>
  <sheetViews>
    <sheetView view="pageBreakPreview" topLeftCell="A30" zoomScaleNormal="100" zoomScaleSheetLayoutView="100" workbookViewId="0">
      <selection activeCell="A39" sqref="A39:XFD46"/>
    </sheetView>
  </sheetViews>
  <sheetFormatPr defaultColWidth="9.28515625" defaultRowHeight="14.25"/>
  <cols>
    <col min="1" max="2" width="10.7109375" style="645" customWidth="1"/>
    <col min="3" max="3" width="40.7109375" style="645" customWidth="1"/>
    <col min="4" max="4" width="10.7109375" style="645" customWidth="1"/>
    <col min="5" max="7" width="14.7109375" style="645" customWidth="1"/>
    <col min="8" max="16384" width="9.28515625" style="645"/>
  </cols>
  <sheetData>
    <row r="1" spans="1:8" s="232" customFormat="1" ht="15" customHeight="1">
      <c r="A1" s="231"/>
      <c r="B1" s="2417"/>
      <c r="C1" s="2417"/>
      <c r="D1" s="2417"/>
      <c r="E1" s="2417"/>
      <c r="F1" s="2417"/>
      <c r="G1" s="2418"/>
    </row>
    <row r="2" spans="1:8" s="232" customFormat="1" ht="45.75" customHeight="1">
      <c r="A2" s="236"/>
      <c r="B2" s="549"/>
      <c r="C2" s="549"/>
      <c r="D2" s="549"/>
      <c r="E2" s="549"/>
      <c r="F2" s="549"/>
      <c r="G2" s="542"/>
    </row>
    <row r="3" spans="1:8" s="232" customFormat="1" ht="15" customHeight="1">
      <c r="A3" s="2352" t="s">
        <v>18</v>
      </c>
      <c r="B3" s="2353"/>
      <c r="C3" s="2353"/>
      <c r="D3" s="2353"/>
      <c r="E3" s="2353"/>
      <c r="F3" s="2353"/>
      <c r="G3" s="2354"/>
    </row>
    <row r="4" spans="1:8" s="232" customFormat="1" ht="15" customHeight="1">
      <c r="A4" s="2355" t="s">
        <v>187</v>
      </c>
      <c r="B4" s="2356"/>
      <c r="C4" s="2356"/>
      <c r="D4" s="2356"/>
      <c r="E4" s="2356"/>
      <c r="F4" s="2356"/>
      <c r="G4" s="2357"/>
    </row>
    <row r="5" spans="1:8" s="232" customFormat="1" ht="15" customHeight="1">
      <c r="A5" s="2355" t="s">
        <v>17</v>
      </c>
      <c r="B5" s="2356"/>
      <c r="C5" s="2356"/>
      <c r="D5" s="2356"/>
      <c r="E5" s="2356"/>
      <c r="F5" s="2356"/>
      <c r="G5" s="2357"/>
    </row>
    <row r="6" spans="1:8" s="232" customFormat="1" ht="15" customHeight="1">
      <c r="A6" s="543"/>
      <c r="B6" s="550"/>
      <c r="C6" s="550"/>
      <c r="D6" s="550"/>
      <c r="E6" s="550"/>
      <c r="F6" s="550"/>
      <c r="G6" s="544"/>
    </row>
    <row r="7" spans="1:8" s="623" customFormat="1" ht="22.5" customHeight="1">
      <c r="A7" s="622" t="s">
        <v>700</v>
      </c>
      <c r="B7" s="2419" t="str">
        <f>'PLANILHA GERAL'!D9</f>
        <v>OBRAS DE PREVENÇÕES DE ALAGAMENTOS E CHEIAS, INFRAESTRUTURA URBANA E CONSTRUÇÕES DIVERSAS NO MUNICÍPIO DE ANANINDEUA/PA</v>
      </c>
      <c r="C7" s="2420"/>
      <c r="D7" s="2420"/>
      <c r="E7" s="2420"/>
      <c r="F7" s="2420"/>
      <c r="G7" s="2421"/>
    </row>
    <row r="8" spans="1:8" s="232" customFormat="1" ht="15" customHeight="1" thickBot="1">
      <c r="A8" s="233"/>
      <c r="B8" s="2361"/>
      <c r="C8" s="2361"/>
      <c r="D8" s="2361"/>
      <c r="E8" s="2361"/>
      <c r="F8" s="2361"/>
      <c r="G8" s="2362"/>
    </row>
    <row r="9" spans="1:8" s="623" customFormat="1" ht="29.25" thickTop="1">
      <c r="A9" s="545" t="s">
        <v>185</v>
      </c>
      <c r="B9" s="624" t="s">
        <v>727</v>
      </c>
      <c r="C9" s="2349" t="s">
        <v>702</v>
      </c>
      <c r="D9" s="2350"/>
      <c r="E9" s="2350"/>
      <c r="F9" s="2351"/>
      <c r="G9" s="312" t="s">
        <v>566</v>
      </c>
    </row>
    <row r="10" spans="1:8" s="623" customFormat="1" ht="15" thickBot="1">
      <c r="A10" s="546" t="s">
        <v>203</v>
      </c>
      <c r="B10" s="625">
        <v>180263</v>
      </c>
      <c r="C10" s="2400" t="str">
        <f>[17]ORÇAMENTO!F104</f>
        <v>Recuperação de PV´s ou Caixas de águas pluviais para bueiros simples</v>
      </c>
      <c r="D10" s="2401"/>
      <c r="E10" s="2401"/>
      <c r="F10" s="2402"/>
      <c r="G10" s="155" t="s">
        <v>729</v>
      </c>
    </row>
    <row r="11" spans="1:8" s="623" customFormat="1" ht="12.75" customHeight="1" thickTop="1">
      <c r="A11" s="2403"/>
      <c r="B11" s="2404"/>
      <c r="C11" s="2404"/>
      <c r="D11" s="2404"/>
      <c r="E11" s="2404"/>
      <c r="F11" s="2404"/>
      <c r="G11" s="2405"/>
    </row>
    <row r="12" spans="1:8" s="627" customFormat="1" ht="20.100000000000001" customHeight="1">
      <c r="A12" s="241" t="s">
        <v>35</v>
      </c>
      <c r="B12" s="242" t="s">
        <v>263</v>
      </c>
      <c r="C12" s="243" t="s">
        <v>699</v>
      </c>
      <c r="D12" s="242" t="s">
        <v>37</v>
      </c>
      <c r="E12" s="243" t="s">
        <v>151</v>
      </c>
      <c r="F12" s="244" t="s">
        <v>38</v>
      </c>
      <c r="G12" s="245" t="s">
        <v>703</v>
      </c>
      <c r="H12" s="626"/>
    </row>
    <row r="13" spans="1:8" s="623" customFormat="1" ht="20.100000000000001" customHeight="1">
      <c r="A13" s="2406" t="s">
        <v>34</v>
      </c>
      <c r="B13" s="2407"/>
      <c r="C13" s="2407"/>
      <c r="D13" s="2407"/>
      <c r="E13" s="2407"/>
      <c r="F13" s="2407"/>
      <c r="G13" s="2408"/>
    </row>
    <row r="14" spans="1:8" s="623" customFormat="1" ht="20.100000000000001" customHeight="1">
      <c r="A14" s="628">
        <v>1</v>
      </c>
      <c r="B14" s="1404">
        <v>88309</v>
      </c>
      <c r="C14" s="630" t="s">
        <v>275</v>
      </c>
      <c r="D14" s="629" t="s">
        <v>229</v>
      </c>
      <c r="E14" s="631">
        <v>2.4</v>
      </c>
      <c r="F14" s="632">
        <v>24.72</v>
      </c>
      <c r="G14" s="633">
        <f>E14*F14</f>
        <v>59.33</v>
      </c>
    </row>
    <row r="15" spans="1:8" s="623" customFormat="1" ht="24">
      <c r="A15" s="628">
        <v>2</v>
      </c>
      <c r="B15" s="1404">
        <v>88242</v>
      </c>
      <c r="C15" s="630" t="s">
        <v>730</v>
      </c>
      <c r="D15" s="629" t="s">
        <v>229</v>
      </c>
      <c r="E15" s="634">
        <f>E14*2</f>
        <v>4.8</v>
      </c>
      <c r="F15" s="632">
        <v>20.41</v>
      </c>
      <c r="G15" s="633">
        <f>E15*F15</f>
        <v>97.97</v>
      </c>
    </row>
    <row r="16" spans="1:8" s="623" customFormat="1" ht="20.100000000000001" customHeight="1">
      <c r="A16" s="2409" t="s">
        <v>563</v>
      </c>
      <c r="B16" s="2410"/>
      <c r="C16" s="2410"/>
      <c r="D16" s="2410"/>
      <c r="E16" s="2410"/>
      <c r="F16" s="2410"/>
      <c r="G16" s="635">
        <f>SUM(G14:G15)</f>
        <v>157.30000000000001</v>
      </c>
    </row>
    <row r="17" spans="1:7" s="623" customFormat="1" ht="20.100000000000001" customHeight="1">
      <c r="A17" s="2411" t="s">
        <v>44</v>
      </c>
      <c r="B17" s="2412"/>
      <c r="C17" s="2412"/>
      <c r="D17" s="2412"/>
      <c r="E17" s="2412"/>
      <c r="F17" s="2412"/>
      <c r="G17" s="2413"/>
    </row>
    <row r="18" spans="1:7" s="623" customFormat="1" ht="27.75" customHeight="1">
      <c r="A18" s="628"/>
      <c r="B18" s="636"/>
      <c r="C18" s="637"/>
      <c r="D18" s="638"/>
      <c r="E18" s="631"/>
      <c r="F18" s="639"/>
      <c r="G18" s="633">
        <f t="shared" ref="G18:G29" si="0">E18*F18</f>
        <v>0</v>
      </c>
    </row>
    <row r="19" spans="1:7" s="623" customFormat="1" ht="27.75" hidden="1" customHeight="1">
      <c r="A19" s="628"/>
      <c r="B19" s="636"/>
      <c r="C19" s="637"/>
      <c r="D19" s="638"/>
      <c r="E19" s="631"/>
      <c r="F19" s="639"/>
      <c r="G19" s="633">
        <f t="shared" si="0"/>
        <v>0</v>
      </c>
    </row>
    <row r="20" spans="1:7" s="623" customFormat="1" ht="27.75" hidden="1" customHeight="1">
      <c r="A20" s="628"/>
      <c r="B20" s="636"/>
      <c r="C20" s="637"/>
      <c r="D20" s="638"/>
      <c r="E20" s="631"/>
      <c r="F20" s="639"/>
      <c r="G20" s="633">
        <f t="shared" si="0"/>
        <v>0</v>
      </c>
    </row>
    <row r="21" spans="1:7" s="623" customFormat="1" ht="27.75" hidden="1" customHeight="1">
      <c r="A21" s="628"/>
      <c r="B21" s="636"/>
      <c r="C21" s="637"/>
      <c r="D21" s="638"/>
      <c r="E21" s="631"/>
      <c r="F21" s="639"/>
      <c r="G21" s="633">
        <f t="shared" si="0"/>
        <v>0</v>
      </c>
    </row>
    <row r="22" spans="1:7" s="623" customFormat="1" ht="27.75" hidden="1" customHeight="1">
      <c r="A22" s="628"/>
      <c r="B22" s="636"/>
      <c r="C22" s="637"/>
      <c r="D22" s="638"/>
      <c r="E22" s="631"/>
      <c r="F22" s="639"/>
      <c r="G22" s="633">
        <f t="shared" si="0"/>
        <v>0</v>
      </c>
    </row>
    <row r="23" spans="1:7" s="623" customFormat="1" ht="27.75" hidden="1" customHeight="1">
      <c r="A23" s="628"/>
      <c r="B23" s="636"/>
      <c r="C23" s="637"/>
      <c r="D23" s="638"/>
      <c r="E23" s="631"/>
      <c r="F23" s="639"/>
      <c r="G23" s="633">
        <f t="shared" si="0"/>
        <v>0</v>
      </c>
    </row>
    <row r="24" spans="1:7" s="623" customFormat="1" ht="27.75" hidden="1" customHeight="1">
      <c r="A24" s="628"/>
      <c r="B24" s="636"/>
      <c r="C24" s="637"/>
      <c r="D24" s="638"/>
      <c r="E24" s="631"/>
      <c r="F24" s="639"/>
      <c r="G24" s="633">
        <f t="shared" si="0"/>
        <v>0</v>
      </c>
    </row>
    <row r="25" spans="1:7" s="623" customFormat="1" ht="27.75" hidden="1" customHeight="1">
      <c r="A25" s="628"/>
      <c r="B25" s="636"/>
      <c r="C25" s="637"/>
      <c r="D25" s="638"/>
      <c r="E25" s="631"/>
      <c r="F25" s="639"/>
      <c r="G25" s="633">
        <f t="shared" si="0"/>
        <v>0</v>
      </c>
    </row>
    <row r="26" spans="1:7" s="623" customFormat="1" ht="27.75" hidden="1" customHeight="1">
      <c r="A26" s="628"/>
      <c r="B26" s="636"/>
      <c r="C26" s="637"/>
      <c r="D26" s="638"/>
      <c r="E26" s="631"/>
      <c r="F26" s="639"/>
      <c r="G26" s="633">
        <f t="shared" si="0"/>
        <v>0</v>
      </c>
    </row>
    <row r="27" spans="1:7" s="623" customFormat="1" ht="27.75" hidden="1" customHeight="1">
      <c r="A27" s="628"/>
      <c r="B27" s="636"/>
      <c r="C27" s="637"/>
      <c r="D27" s="638"/>
      <c r="E27" s="631"/>
      <c r="F27" s="639"/>
      <c r="G27" s="633">
        <f t="shared" si="0"/>
        <v>0</v>
      </c>
    </row>
    <row r="28" spans="1:7" s="623" customFormat="1" ht="27.75" hidden="1" customHeight="1">
      <c r="A28" s="628"/>
      <c r="B28" s="636"/>
      <c r="C28" s="637"/>
      <c r="D28" s="638"/>
      <c r="E28" s="631"/>
      <c r="F28" s="639"/>
      <c r="G28" s="633">
        <f t="shared" si="0"/>
        <v>0</v>
      </c>
    </row>
    <row r="29" spans="1:7" s="623" customFormat="1" ht="27.75" hidden="1" customHeight="1">
      <c r="A29" s="628"/>
      <c r="B29" s="636"/>
      <c r="C29" s="637"/>
      <c r="D29" s="638"/>
      <c r="E29" s="631"/>
      <c r="F29" s="639"/>
      <c r="G29" s="633">
        <f t="shared" si="0"/>
        <v>0</v>
      </c>
    </row>
    <row r="30" spans="1:7" s="623" customFormat="1" ht="20.100000000000001" customHeight="1">
      <c r="A30" s="2409" t="s">
        <v>564</v>
      </c>
      <c r="B30" s="2410"/>
      <c r="C30" s="2410"/>
      <c r="D30" s="2410"/>
      <c r="E30" s="2410"/>
      <c r="F30" s="2410"/>
      <c r="G30" s="635">
        <f>SUM(G18:G29)</f>
        <v>0</v>
      </c>
    </row>
    <row r="31" spans="1:7" s="623" customFormat="1" ht="20.100000000000001" customHeight="1">
      <c r="A31" s="2414" t="s">
        <v>731</v>
      </c>
      <c r="B31" s="2415"/>
      <c r="C31" s="2415"/>
      <c r="D31" s="2415"/>
      <c r="E31" s="2415"/>
      <c r="F31" s="2415"/>
      <c r="G31" s="2416"/>
    </row>
    <row r="32" spans="1:7" s="623" customFormat="1" ht="24">
      <c r="A32" s="628">
        <v>1</v>
      </c>
      <c r="B32" s="636">
        <v>20174</v>
      </c>
      <c r="C32" s="640" t="s">
        <v>732</v>
      </c>
      <c r="D32" s="638" t="s">
        <v>0</v>
      </c>
      <c r="E32" s="639">
        <v>3.28</v>
      </c>
      <c r="F32" s="639">
        <v>126.85</v>
      </c>
      <c r="G32" s="633">
        <f>E32*F32</f>
        <v>416.07</v>
      </c>
    </row>
    <row r="33" spans="1:8" s="623" customFormat="1" ht="24">
      <c r="A33" s="628">
        <f t="shared" ref="A33:A38" si="1">A32+1</f>
        <v>2</v>
      </c>
      <c r="B33" s="636">
        <v>50681</v>
      </c>
      <c r="C33" s="640" t="s">
        <v>733</v>
      </c>
      <c r="D33" s="638" t="s">
        <v>0</v>
      </c>
      <c r="E33" s="639">
        <f>0.49/2</f>
        <v>0.25</v>
      </c>
      <c r="F33" s="639">
        <v>3635.61</v>
      </c>
      <c r="G33" s="633">
        <f t="shared" ref="G33:G46" si="2">E33*F33</f>
        <v>908.9</v>
      </c>
    </row>
    <row r="34" spans="1:8" s="623" customFormat="1" ht="20.100000000000001" customHeight="1">
      <c r="A34" s="628">
        <f t="shared" si="1"/>
        <v>3</v>
      </c>
      <c r="B34" s="636">
        <v>30010</v>
      </c>
      <c r="C34" s="640" t="s">
        <v>734</v>
      </c>
      <c r="D34" s="638" t="s">
        <v>0</v>
      </c>
      <c r="E34" s="639">
        <f>3.6/2</f>
        <v>1.8</v>
      </c>
      <c r="F34" s="639">
        <v>79.760000000000005</v>
      </c>
      <c r="G34" s="633">
        <f t="shared" si="2"/>
        <v>143.57</v>
      </c>
    </row>
    <row r="35" spans="1:8" s="623" customFormat="1" ht="20.100000000000001" customHeight="1">
      <c r="A35" s="628">
        <f t="shared" si="1"/>
        <v>4</v>
      </c>
      <c r="B35" s="636">
        <v>30254</v>
      </c>
      <c r="C35" s="640" t="s">
        <v>735</v>
      </c>
      <c r="D35" s="638" t="s">
        <v>0</v>
      </c>
      <c r="E35" s="639">
        <f>1.08/2</f>
        <v>0.54</v>
      </c>
      <c r="F35" s="639">
        <v>16.100000000000001</v>
      </c>
      <c r="G35" s="633">
        <f t="shared" si="2"/>
        <v>8.69</v>
      </c>
    </row>
    <row r="36" spans="1:8" s="623" customFormat="1" ht="20.100000000000001" customHeight="1">
      <c r="A36" s="628">
        <f t="shared" si="1"/>
        <v>5</v>
      </c>
      <c r="B36" s="636">
        <v>60045</v>
      </c>
      <c r="C36" s="640" t="s">
        <v>736</v>
      </c>
      <c r="D36" s="638" t="s">
        <v>2</v>
      </c>
      <c r="E36" s="639">
        <f>7.2/2</f>
        <v>3.6</v>
      </c>
      <c r="F36" s="639">
        <v>135.19</v>
      </c>
      <c r="G36" s="633">
        <f t="shared" si="2"/>
        <v>486.68</v>
      </c>
    </row>
    <row r="37" spans="1:8" s="623" customFormat="1" ht="20.100000000000001" customHeight="1">
      <c r="A37" s="628">
        <f t="shared" si="1"/>
        <v>6</v>
      </c>
      <c r="B37" s="636" t="s">
        <v>737</v>
      </c>
      <c r="C37" s="640" t="s">
        <v>738</v>
      </c>
      <c r="D37" s="638" t="s">
        <v>739</v>
      </c>
      <c r="E37" s="639"/>
      <c r="F37" s="639">
        <v>430</v>
      </c>
      <c r="G37" s="633">
        <f t="shared" si="2"/>
        <v>0</v>
      </c>
    </row>
    <row r="38" spans="1:8" s="623" customFormat="1" ht="20.100000000000001" customHeight="1">
      <c r="A38" s="628">
        <f t="shared" si="1"/>
        <v>7</v>
      </c>
      <c r="B38" s="636" t="s">
        <v>740</v>
      </c>
      <c r="C38" s="640" t="s">
        <v>741</v>
      </c>
      <c r="D38" s="638" t="s">
        <v>739</v>
      </c>
      <c r="E38" s="639">
        <v>1</v>
      </c>
      <c r="F38" s="639">
        <v>2247.87</v>
      </c>
      <c r="G38" s="633">
        <f t="shared" si="2"/>
        <v>2247.87</v>
      </c>
    </row>
    <row r="39" spans="1:8" s="623" customFormat="1" ht="20.100000000000001" hidden="1" customHeight="1">
      <c r="A39" s="628"/>
      <c r="B39" s="636"/>
      <c r="C39" s="640"/>
      <c r="D39" s="638"/>
      <c r="E39" s="639"/>
      <c r="F39" s="639"/>
      <c r="G39" s="633">
        <f t="shared" si="2"/>
        <v>0</v>
      </c>
    </row>
    <row r="40" spans="1:8" s="623" customFormat="1" ht="20.100000000000001" hidden="1" customHeight="1">
      <c r="A40" s="628"/>
      <c r="B40" s="636"/>
      <c r="C40" s="640"/>
      <c r="D40" s="638"/>
      <c r="E40" s="639"/>
      <c r="F40" s="639"/>
      <c r="G40" s="633">
        <f t="shared" si="2"/>
        <v>0</v>
      </c>
    </row>
    <row r="41" spans="1:8" s="623" customFormat="1" ht="20.100000000000001" hidden="1" customHeight="1">
      <c r="A41" s="628"/>
      <c r="B41" s="636"/>
      <c r="C41" s="640"/>
      <c r="D41" s="638"/>
      <c r="E41" s="639"/>
      <c r="F41" s="639"/>
      <c r="G41" s="633">
        <f t="shared" si="2"/>
        <v>0</v>
      </c>
    </row>
    <row r="42" spans="1:8" s="623" customFormat="1" ht="20.100000000000001" hidden="1" customHeight="1">
      <c r="A42" s="628"/>
      <c r="B42" s="636"/>
      <c r="C42" s="640"/>
      <c r="D42" s="638"/>
      <c r="E42" s="639"/>
      <c r="F42" s="639"/>
      <c r="G42" s="633">
        <f t="shared" si="2"/>
        <v>0</v>
      </c>
    </row>
    <row r="43" spans="1:8" s="623" customFormat="1" ht="20.100000000000001" hidden="1" customHeight="1">
      <c r="A43" s="628"/>
      <c r="B43" s="636"/>
      <c r="C43" s="640"/>
      <c r="D43" s="638"/>
      <c r="E43" s="639"/>
      <c r="F43" s="639"/>
      <c r="G43" s="633">
        <f t="shared" si="2"/>
        <v>0</v>
      </c>
    </row>
    <row r="44" spans="1:8" s="623" customFormat="1" ht="20.100000000000001" hidden="1" customHeight="1">
      <c r="A44" s="628"/>
      <c r="B44" s="636"/>
      <c r="C44" s="640"/>
      <c r="D44" s="638"/>
      <c r="E44" s="639"/>
      <c r="F44" s="639"/>
      <c r="G44" s="633">
        <f t="shared" si="2"/>
        <v>0</v>
      </c>
    </row>
    <row r="45" spans="1:8" s="623" customFormat="1" ht="20.100000000000001" hidden="1" customHeight="1">
      <c r="A45" s="628"/>
      <c r="B45" s="636"/>
      <c r="C45" s="640"/>
      <c r="D45" s="638"/>
      <c r="E45" s="639"/>
      <c r="F45" s="639"/>
      <c r="G45" s="633">
        <f t="shared" si="2"/>
        <v>0</v>
      </c>
    </row>
    <row r="46" spans="1:8" s="623" customFormat="1" ht="20.100000000000001" hidden="1" customHeight="1">
      <c r="A46" s="628"/>
      <c r="B46" s="636"/>
      <c r="C46" s="640"/>
      <c r="D46" s="638"/>
      <c r="E46" s="639"/>
      <c r="F46" s="639"/>
      <c r="G46" s="633">
        <f t="shared" si="2"/>
        <v>0</v>
      </c>
    </row>
    <row r="47" spans="1:8" s="623" customFormat="1" ht="20.100000000000001" customHeight="1">
      <c r="A47" s="2409" t="s">
        <v>565</v>
      </c>
      <c r="B47" s="2410"/>
      <c r="C47" s="2410"/>
      <c r="D47" s="2410"/>
      <c r="E47" s="2410"/>
      <c r="F47" s="2410"/>
      <c r="G47" s="635">
        <f>SUM(G32:G46)</f>
        <v>4211.78</v>
      </c>
    </row>
    <row r="48" spans="1:8" s="627" customFormat="1" ht="20.100000000000001" customHeight="1">
      <c r="A48" s="2393" t="s">
        <v>48</v>
      </c>
      <c r="B48" s="2394"/>
      <c r="C48" s="2394"/>
      <c r="D48" s="2394"/>
      <c r="E48" s="2394"/>
      <c r="F48" s="2394"/>
      <c r="G48" s="2395"/>
      <c r="H48" s="626"/>
    </row>
    <row r="49" spans="1:8" s="627" customFormat="1" ht="20.100000000000001" customHeight="1">
      <c r="A49" s="156" t="s">
        <v>35</v>
      </c>
      <c r="B49" s="157"/>
      <c r="C49" s="157" t="s">
        <v>49</v>
      </c>
      <c r="D49" s="2396" t="s">
        <v>704</v>
      </c>
      <c r="E49" s="2397"/>
      <c r="F49" s="2397"/>
      <c r="G49" s="2398"/>
      <c r="H49" s="626"/>
    </row>
    <row r="50" spans="1:8" s="627" customFormat="1" ht="20.100000000000001" customHeight="1">
      <c r="A50" s="156" t="s">
        <v>50</v>
      </c>
      <c r="B50" s="157"/>
      <c r="C50" s="157" t="s">
        <v>51</v>
      </c>
      <c r="D50" s="2383" t="s">
        <v>52</v>
      </c>
      <c r="E50" s="2383"/>
      <c r="F50" s="2383"/>
      <c r="G50" s="158">
        <f>G16</f>
        <v>157.30000000000001</v>
      </c>
      <c r="H50" s="626"/>
    </row>
    <row r="51" spans="1:8" s="627" customFormat="1" ht="20.100000000000001" customHeight="1">
      <c r="A51" s="156" t="s">
        <v>53</v>
      </c>
      <c r="B51" s="157"/>
      <c r="C51" s="157" t="s">
        <v>54</v>
      </c>
      <c r="D51" s="2383" t="s">
        <v>55</v>
      </c>
      <c r="E51" s="2383"/>
      <c r="F51" s="2383"/>
      <c r="G51" s="158">
        <f>G30</f>
        <v>0</v>
      </c>
      <c r="H51" s="626"/>
    </row>
    <row r="52" spans="1:8" s="627" customFormat="1" ht="20.100000000000001" customHeight="1">
      <c r="A52" s="156" t="s">
        <v>14</v>
      </c>
      <c r="B52" s="157"/>
      <c r="C52" s="157" t="s">
        <v>56</v>
      </c>
      <c r="D52" s="2383" t="s">
        <v>57</v>
      </c>
      <c r="E52" s="2383"/>
      <c r="F52" s="2383"/>
      <c r="G52" s="158">
        <f>G47</f>
        <v>4211.78</v>
      </c>
      <c r="H52" s="626"/>
    </row>
    <row r="53" spans="1:8" s="627" customFormat="1" ht="20.100000000000001" customHeight="1">
      <c r="A53" s="156" t="s">
        <v>7</v>
      </c>
      <c r="B53" s="157"/>
      <c r="C53" s="565" t="s">
        <v>58</v>
      </c>
      <c r="D53" s="2384" t="s">
        <v>59</v>
      </c>
      <c r="E53" s="2384"/>
      <c r="F53" s="2384"/>
      <c r="G53" s="566">
        <f>G50+G51+G52</f>
        <v>4369.08</v>
      </c>
      <c r="H53" s="626"/>
    </row>
    <row r="54" spans="1:8" s="627" customFormat="1" ht="20.100000000000001" customHeight="1">
      <c r="A54" s="156"/>
      <c r="B54" s="157"/>
      <c r="C54" s="565"/>
      <c r="D54" s="2385" t="s">
        <v>198</v>
      </c>
      <c r="E54" s="2386"/>
      <c r="F54" s="567">
        <v>0.27460000000000001</v>
      </c>
      <c r="G54" s="159">
        <f>G53*F54</f>
        <v>1199.75</v>
      </c>
      <c r="H54" s="626"/>
    </row>
    <row r="55" spans="1:8" s="627" customFormat="1" ht="20.100000000000001" customHeight="1" thickBot="1">
      <c r="A55" s="2387" t="s">
        <v>61</v>
      </c>
      <c r="B55" s="2388"/>
      <c r="C55" s="2388"/>
      <c r="D55" s="2388"/>
      <c r="E55" s="2388"/>
      <c r="F55" s="2389"/>
      <c r="G55" s="160">
        <f>G53+G54</f>
        <v>5568.83</v>
      </c>
      <c r="H55" s="626"/>
    </row>
    <row r="56" spans="1:8" s="623" customFormat="1" ht="20.100000000000001" customHeight="1">
      <c r="A56" s="641"/>
      <c r="B56" s="642"/>
      <c r="C56" s="642"/>
      <c r="D56" s="643"/>
      <c r="E56" s="642"/>
      <c r="F56" s="642"/>
      <c r="G56" s="644"/>
    </row>
  </sheetData>
  <mergeCells count="23">
    <mergeCell ref="B1:G1"/>
    <mergeCell ref="A3:G3"/>
    <mergeCell ref="A4:G4"/>
    <mergeCell ref="A5:G5"/>
    <mergeCell ref="B7:G7"/>
    <mergeCell ref="B8:G8"/>
    <mergeCell ref="D50:F50"/>
    <mergeCell ref="C9:F9"/>
    <mergeCell ref="C10:F10"/>
    <mergeCell ref="A11:G11"/>
    <mergeCell ref="A13:G13"/>
    <mergeCell ref="A16:F16"/>
    <mergeCell ref="A17:G17"/>
    <mergeCell ref="A30:F30"/>
    <mergeCell ref="A31:G31"/>
    <mergeCell ref="A47:F47"/>
    <mergeCell ref="A48:G48"/>
    <mergeCell ref="D49:G49"/>
    <mergeCell ref="D51:F51"/>
    <mergeCell ref="D52:F52"/>
    <mergeCell ref="D53:F53"/>
    <mergeCell ref="D54:E54"/>
    <mergeCell ref="A55:F55"/>
  </mergeCells>
  <pageMargins left="0.511811024" right="0.511811024" top="0.78740157499999996" bottom="0.78740157499999996" header="0.31496062000000002" footer="0.31496062000000002"/>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1:H60"/>
  <sheetViews>
    <sheetView view="pageBreakPreview" topLeftCell="A48" zoomScaleNormal="100" zoomScaleSheetLayoutView="100" workbookViewId="0">
      <selection activeCell="A11" sqref="A11:G11"/>
    </sheetView>
  </sheetViews>
  <sheetFormatPr defaultColWidth="9.28515625" defaultRowHeight="14.25"/>
  <cols>
    <col min="1" max="2" width="10.7109375" style="645" customWidth="1"/>
    <col min="3" max="3" width="40.7109375" style="645" customWidth="1"/>
    <col min="4" max="4" width="10.7109375" style="645" customWidth="1"/>
    <col min="5" max="7" width="14.7109375" style="645" customWidth="1"/>
    <col min="8" max="16384" width="9.28515625" style="645"/>
  </cols>
  <sheetData>
    <row r="1" spans="1:8" s="232" customFormat="1" ht="15" customHeight="1">
      <c r="A1" s="231"/>
      <c r="B1" s="2417"/>
      <c r="C1" s="2417"/>
      <c r="D1" s="2417"/>
      <c r="E1" s="2417"/>
      <c r="F1" s="2417"/>
      <c r="G1" s="2418"/>
    </row>
    <row r="2" spans="1:8" s="232" customFormat="1" ht="45.75" customHeight="1">
      <c r="A2" s="236"/>
      <c r="B2" s="549"/>
      <c r="C2" s="549"/>
      <c r="D2" s="549"/>
      <c r="E2" s="549"/>
      <c r="F2" s="549"/>
      <c r="G2" s="542"/>
    </row>
    <row r="3" spans="1:8" s="232" customFormat="1" ht="15" customHeight="1">
      <c r="A3" s="2352" t="s">
        <v>18</v>
      </c>
      <c r="B3" s="2353"/>
      <c r="C3" s="2353"/>
      <c r="D3" s="2353"/>
      <c r="E3" s="2353"/>
      <c r="F3" s="2353"/>
      <c r="G3" s="2354"/>
    </row>
    <row r="4" spans="1:8" s="232" customFormat="1" ht="15" customHeight="1">
      <c r="A4" s="2355" t="s">
        <v>187</v>
      </c>
      <c r="B4" s="2356"/>
      <c r="C4" s="2356"/>
      <c r="D4" s="2356"/>
      <c r="E4" s="2356"/>
      <c r="F4" s="2356"/>
      <c r="G4" s="2357"/>
    </row>
    <row r="5" spans="1:8" s="232" customFormat="1" ht="15" customHeight="1">
      <c r="A5" s="2355" t="s">
        <v>17</v>
      </c>
      <c r="B5" s="2356"/>
      <c r="C5" s="2356"/>
      <c r="D5" s="2356"/>
      <c r="E5" s="2356"/>
      <c r="F5" s="2356"/>
      <c r="G5" s="2357"/>
    </row>
    <row r="6" spans="1:8" s="232" customFormat="1" ht="15" customHeight="1">
      <c r="A6" s="543"/>
      <c r="B6" s="550"/>
      <c r="C6" s="550"/>
      <c r="D6" s="550"/>
      <c r="E6" s="550"/>
      <c r="F6" s="550"/>
      <c r="G6" s="544"/>
    </row>
    <row r="7" spans="1:8" s="623" customFormat="1">
      <c r="A7" s="622" t="s">
        <v>700</v>
      </c>
      <c r="B7" s="2419" t="str">
        <f>[17]ORÇAMENTO!D9</f>
        <v>EXECUÇÃO DOS SERVIÇOS DE INFRAESTRUTURA NO UNA/ATALAIA/JADERLÂNDIA  - NO MUNICÍPIO DE ANANINDEUA - PA.</v>
      </c>
      <c r="C7" s="2420"/>
      <c r="D7" s="2420"/>
      <c r="E7" s="2420"/>
      <c r="F7" s="2420"/>
      <c r="G7" s="2421"/>
    </row>
    <row r="8" spans="1:8" s="232" customFormat="1" ht="15" customHeight="1" thickBot="1">
      <c r="A8" s="233"/>
      <c r="B8" s="2361"/>
      <c r="C8" s="2361"/>
      <c r="D8" s="2361"/>
      <c r="E8" s="2361"/>
      <c r="F8" s="2361"/>
      <c r="G8" s="2362"/>
    </row>
    <row r="9" spans="1:8" s="623" customFormat="1" ht="24" customHeight="1" thickTop="1">
      <c r="A9" s="545" t="s">
        <v>185</v>
      </c>
      <c r="B9" s="624" t="s">
        <v>742</v>
      </c>
      <c r="C9" s="2349" t="s">
        <v>702</v>
      </c>
      <c r="D9" s="2350"/>
      <c r="E9" s="2350"/>
      <c r="F9" s="2351"/>
      <c r="G9" s="312" t="s">
        <v>566</v>
      </c>
    </row>
    <row r="10" spans="1:8" s="623" customFormat="1" ht="29.25" customHeight="1" thickBot="1">
      <c r="A10" s="546" t="s">
        <v>204</v>
      </c>
      <c r="B10" s="625">
        <v>97956</v>
      </c>
      <c r="C10" s="2400" t="str">
        <f>[17]ORÇAMENTO!F105</f>
        <v>Recuperação de BL´s simples</v>
      </c>
      <c r="D10" s="2401"/>
      <c r="E10" s="2401"/>
      <c r="F10" s="2402"/>
      <c r="G10" s="155" t="s">
        <v>729</v>
      </c>
    </row>
    <row r="11" spans="1:8" s="623" customFormat="1" ht="12.75" customHeight="1" thickTop="1">
      <c r="A11" s="2403"/>
      <c r="B11" s="2404"/>
      <c r="C11" s="2404"/>
      <c r="D11" s="2404"/>
      <c r="E11" s="2404"/>
      <c r="F11" s="2404"/>
      <c r="G11" s="2405"/>
    </row>
    <row r="12" spans="1:8" s="627" customFormat="1" ht="20.100000000000001" customHeight="1">
      <c r="A12" s="241" t="s">
        <v>35</v>
      </c>
      <c r="B12" s="242" t="s">
        <v>263</v>
      </c>
      <c r="C12" s="243" t="s">
        <v>699</v>
      </c>
      <c r="D12" s="242" t="s">
        <v>37</v>
      </c>
      <c r="E12" s="243" t="s">
        <v>151</v>
      </c>
      <c r="F12" s="244" t="s">
        <v>38</v>
      </c>
      <c r="G12" s="245" t="s">
        <v>703</v>
      </c>
      <c r="H12" s="626"/>
    </row>
    <row r="13" spans="1:8" s="623" customFormat="1" ht="20.100000000000001" customHeight="1">
      <c r="A13" s="2406" t="s">
        <v>34</v>
      </c>
      <c r="B13" s="2407"/>
      <c r="C13" s="2407"/>
      <c r="D13" s="2407"/>
      <c r="E13" s="2407"/>
      <c r="F13" s="2407"/>
      <c r="G13" s="2408"/>
    </row>
    <row r="14" spans="1:8" s="623" customFormat="1" ht="20.100000000000001" customHeight="1">
      <c r="A14" s="628">
        <v>1</v>
      </c>
      <c r="B14" s="1404">
        <v>88309</v>
      </c>
      <c r="C14" s="630" t="s">
        <v>275</v>
      </c>
      <c r="D14" s="629" t="s">
        <v>229</v>
      </c>
      <c r="E14" s="646">
        <v>9.5631000000000004</v>
      </c>
      <c r="F14" s="632">
        <f>'CPU - 2'!F14</f>
        <v>24.72</v>
      </c>
      <c r="G14" s="633">
        <f>E14*F14</f>
        <v>236.4</v>
      </c>
    </row>
    <row r="15" spans="1:8" s="623" customFormat="1" ht="20.100000000000001" customHeight="1">
      <c r="A15" s="628">
        <v>2</v>
      </c>
      <c r="B15" s="1404">
        <v>88242</v>
      </c>
      <c r="C15" s="630" t="s">
        <v>730</v>
      </c>
      <c r="D15" s="629" t="s">
        <v>229</v>
      </c>
      <c r="E15" s="646">
        <v>7.5138999999999996</v>
      </c>
      <c r="F15" s="632">
        <f>'CPU - 2'!F15</f>
        <v>20.41</v>
      </c>
      <c r="G15" s="633">
        <f>E15*F15</f>
        <v>153.36000000000001</v>
      </c>
    </row>
    <row r="16" spans="1:8" s="623" customFormat="1" ht="20.100000000000001" customHeight="1">
      <c r="A16" s="2409" t="s">
        <v>563</v>
      </c>
      <c r="B16" s="2410"/>
      <c r="C16" s="2410"/>
      <c r="D16" s="2410"/>
      <c r="E16" s="2410"/>
      <c r="F16" s="2410"/>
      <c r="G16" s="635">
        <f>SUM(G14:G15)</f>
        <v>389.76</v>
      </c>
    </row>
    <row r="17" spans="1:7" s="623" customFormat="1" ht="20.100000000000001" customHeight="1">
      <c r="A17" s="2411" t="s">
        <v>44</v>
      </c>
      <c r="B17" s="2412"/>
      <c r="C17" s="2412"/>
      <c r="D17" s="2412"/>
      <c r="E17" s="2412"/>
      <c r="F17" s="2412"/>
      <c r="G17" s="2413"/>
    </row>
    <row r="18" spans="1:7" s="623" customFormat="1" ht="96">
      <c r="A18" s="628">
        <v>1</v>
      </c>
      <c r="B18" s="1427">
        <v>5678</v>
      </c>
      <c r="C18" s="637" t="s">
        <v>743</v>
      </c>
      <c r="D18" s="638" t="s">
        <v>174</v>
      </c>
      <c r="E18" s="647">
        <v>3.1300000000000001E-2</v>
      </c>
      <c r="F18" s="631">
        <v>151.07</v>
      </c>
      <c r="G18" s="633">
        <f t="shared" ref="G18:G29" si="0">E18*F18</f>
        <v>4.7300000000000004</v>
      </c>
    </row>
    <row r="19" spans="1:7" s="623" customFormat="1" ht="27.75" customHeight="1">
      <c r="A19" s="628"/>
      <c r="B19" s="1427">
        <v>5679</v>
      </c>
      <c r="C19" s="637" t="s">
        <v>743</v>
      </c>
      <c r="D19" s="638" t="s">
        <v>176</v>
      </c>
      <c r="E19" s="647">
        <v>6.4000000000000001E-2</v>
      </c>
      <c r="F19" s="639">
        <v>62.76</v>
      </c>
      <c r="G19" s="633">
        <f t="shared" si="0"/>
        <v>4.0199999999999996</v>
      </c>
    </row>
    <row r="20" spans="1:7" s="623" customFormat="1" ht="27.75" hidden="1" customHeight="1">
      <c r="A20" s="628"/>
      <c r="B20" s="636"/>
      <c r="C20" s="637"/>
      <c r="D20" s="638"/>
      <c r="E20" s="631"/>
      <c r="F20" s="639"/>
      <c r="G20" s="633">
        <f t="shared" si="0"/>
        <v>0</v>
      </c>
    </row>
    <row r="21" spans="1:7" s="623" customFormat="1" ht="27.75" hidden="1" customHeight="1">
      <c r="A21" s="628"/>
      <c r="B21" s="636"/>
      <c r="C21" s="637"/>
      <c r="D21" s="638"/>
      <c r="E21" s="631"/>
      <c r="F21" s="639"/>
      <c r="G21" s="633">
        <f t="shared" si="0"/>
        <v>0</v>
      </c>
    </row>
    <row r="22" spans="1:7" s="623" customFormat="1" ht="27.75" hidden="1" customHeight="1">
      <c r="A22" s="628"/>
      <c r="B22" s="636"/>
      <c r="C22" s="637"/>
      <c r="D22" s="638"/>
      <c r="E22" s="631"/>
      <c r="F22" s="639"/>
      <c r="G22" s="633">
        <f t="shared" si="0"/>
        <v>0</v>
      </c>
    </row>
    <row r="23" spans="1:7" s="623" customFormat="1" ht="27.75" hidden="1" customHeight="1">
      <c r="A23" s="628"/>
      <c r="B23" s="636"/>
      <c r="C23" s="637"/>
      <c r="D23" s="638"/>
      <c r="E23" s="631"/>
      <c r="F23" s="639"/>
      <c r="G23" s="633">
        <f t="shared" si="0"/>
        <v>0</v>
      </c>
    </row>
    <row r="24" spans="1:7" s="623" customFormat="1" ht="27.75" hidden="1" customHeight="1">
      <c r="A24" s="628"/>
      <c r="B24" s="636"/>
      <c r="C24" s="637"/>
      <c r="D24" s="638"/>
      <c r="E24" s="631"/>
      <c r="F24" s="639"/>
      <c r="G24" s="633">
        <f t="shared" si="0"/>
        <v>0</v>
      </c>
    </row>
    <row r="25" spans="1:7" s="623" customFormat="1" ht="27.75" hidden="1" customHeight="1">
      <c r="A25" s="628"/>
      <c r="B25" s="636"/>
      <c r="C25" s="637"/>
      <c r="D25" s="638"/>
      <c r="E25" s="631"/>
      <c r="F25" s="639"/>
      <c r="G25" s="633">
        <f t="shared" si="0"/>
        <v>0</v>
      </c>
    </row>
    <row r="26" spans="1:7" s="623" customFormat="1" ht="27.75" hidden="1" customHeight="1">
      <c r="A26" s="628"/>
      <c r="B26" s="636"/>
      <c r="C26" s="637"/>
      <c r="D26" s="638"/>
      <c r="E26" s="631"/>
      <c r="F26" s="639"/>
      <c r="G26" s="633">
        <f t="shared" si="0"/>
        <v>0</v>
      </c>
    </row>
    <row r="27" spans="1:7" s="623" customFormat="1" ht="27.75" hidden="1" customHeight="1">
      <c r="A27" s="628"/>
      <c r="B27" s="636"/>
      <c r="C27" s="637"/>
      <c r="D27" s="638"/>
      <c r="E27" s="631"/>
      <c r="F27" s="639"/>
      <c r="G27" s="633">
        <f t="shared" si="0"/>
        <v>0</v>
      </c>
    </row>
    <row r="28" spans="1:7" s="623" customFormat="1" ht="27.75" hidden="1" customHeight="1">
      <c r="A28" s="628"/>
      <c r="B28" s="636"/>
      <c r="C28" s="637"/>
      <c r="D28" s="638"/>
      <c r="E28" s="631"/>
      <c r="F28" s="639"/>
      <c r="G28" s="633">
        <f t="shared" si="0"/>
        <v>0</v>
      </c>
    </row>
    <row r="29" spans="1:7" s="623" customFormat="1" ht="27.75" hidden="1" customHeight="1">
      <c r="A29" s="628"/>
      <c r="B29" s="636"/>
      <c r="C29" s="637"/>
      <c r="D29" s="638"/>
      <c r="E29" s="631"/>
      <c r="F29" s="639"/>
      <c r="G29" s="633">
        <f t="shared" si="0"/>
        <v>0</v>
      </c>
    </row>
    <row r="30" spans="1:7" s="623" customFormat="1" ht="20.100000000000001" customHeight="1">
      <c r="A30" s="2409" t="s">
        <v>564</v>
      </c>
      <c r="B30" s="2410"/>
      <c r="C30" s="2410"/>
      <c r="D30" s="2410"/>
      <c r="E30" s="2410"/>
      <c r="F30" s="2410"/>
      <c r="G30" s="635">
        <f>SUM(G18:G29)</f>
        <v>8.75</v>
      </c>
    </row>
    <row r="31" spans="1:7" s="623" customFormat="1" ht="20.100000000000001" customHeight="1">
      <c r="A31" s="2414" t="s">
        <v>731</v>
      </c>
      <c r="B31" s="2415"/>
      <c r="C31" s="2415"/>
      <c r="D31" s="2415"/>
      <c r="E31" s="2415"/>
      <c r="F31" s="2415"/>
      <c r="G31" s="2416"/>
    </row>
    <row r="32" spans="1:7" s="623" customFormat="1" ht="24">
      <c r="A32" s="628">
        <v>1</v>
      </c>
      <c r="B32" s="1427" t="s">
        <v>1762</v>
      </c>
      <c r="C32" s="640" t="s">
        <v>744</v>
      </c>
      <c r="D32" s="638" t="s">
        <v>970</v>
      </c>
      <c r="E32" s="639" t="s">
        <v>1785</v>
      </c>
      <c r="F32" s="639" t="s">
        <v>1786</v>
      </c>
      <c r="G32" s="633">
        <f>E32*F32</f>
        <v>70.98</v>
      </c>
    </row>
    <row r="33" spans="1:7" s="623" customFormat="1" ht="36">
      <c r="A33" s="628">
        <f>A32+1</f>
        <v>2</v>
      </c>
      <c r="B33" s="1427" t="s">
        <v>1763</v>
      </c>
      <c r="C33" s="640" t="s">
        <v>1764</v>
      </c>
      <c r="D33" s="638" t="s">
        <v>175</v>
      </c>
      <c r="E33" s="648" t="s">
        <v>1787</v>
      </c>
      <c r="F33" s="639" t="s">
        <v>1788</v>
      </c>
      <c r="G33" s="633">
        <f t="shared" ref="G33:G50" si="1">E33*F33</f>
        <v>7.0000000000000007E-2</v>
      </c>
    </row>
    <row r="34" spans="1:7" s="623" customFormat="1" ht="24">
      <c r="A34" s="628">
        <f t="shared" ref="A34:A48" si="2">A33+1</f>
        <v>3</v>
      </c>
      <c r="B34" s="1427" t="s">
        <v>1765</v>
      </c>
      <c r="C34" s="640" t="s">
        <v>745</v>
      </c>
      <c r="D34" s="638" t="s">
        <v>504</v>
      </c>
      <c r="E34" s="649" t="s">
        <v>1789</v>
      </c>
      <c r="F34" s="639" t="s">
        <v>1790</v>
      </c>
      <c r="G34" s="633">
        <f t="shared" si="1"/>
        <v>1.86</v>
      </c>
    </row>
    <row r="35" spans="1:7" s="623" customFormat="1" ht="24">
      <c r="A35" s="628">
        <f t="shared" si="2"/>
        <v>4</v>
      </c>
      <c r="B35" s="1427" t="s">
        <v>1766</v>
      </c>
      <c r="C35" s="640" t="s">
        <v>746</v>
      </c>
      <c r="D35" s="638" t="s">
        <v>504</v>
      </c>
      <c r="E35" s="650" t="s">
        <v>1791</v>
      </c>
      <c r="F35" s="639" t="s">
        <v>1792</v>
      </c>
      <c r="G35" s="633">
        <f t="shared" si="1"/>
        <v>0.78</v>
      </c>
    </row>
    <row r="36" spans="1:7" s="623" customFormat="1" ht="24">
      <c r="A36" s="628">
        <f t="shared" si="2"/>
        <v>5</v>
      </c>
      <c r="B36" s="1427" t="s">
        <v>1767</v>
      </c>
      <c r="C36" s="640" t="s">
        <v>747</v>
      </c>
      <c r="D36" s="638" t="s">
        <v>282</v>
      </c>
      <c r="E36" s="650" t="s">
        <v>1793</v>
      </c>
      <c r="F36" s="639" t="s">
        <v>1794</v>
      </c>
      <c r="G36" s="633">
        <f t="shared" si="1"/>
        <v>0.32</v>
      </c>
    </row>
    <row r="37" spans="1:7" s="623" customFormat="1" ht="36">
      <c r="A37" s="628">
        <f t="shared" si="2"/>
        <v>6</v>
      </c>
      <c r="B37" s="1427" t="s">
        <v>1768</v>
      </c>
      <c r="C37" s="640" t="s">
        <v>1769</v>
      </c>
      <c r="D37" s="638" t="s">
        <v>504</v>
      </c>
      <c r="E37" s="651" t="s">
        <v>1795</v>
      </c>
      <c r="F37" s="639" t="s">
        <v>1794</v>
      </c>
      <c r="G37" s="633">
        <f t="shared" si="1"/>
        <v>11.23</v>
      </c>
    </row>
    <row r="38" spans="1:7" s="623" customFormat="1" ht="24">
      <c r="A38" s="628">
        <f>A37+1</f>
        <v>7</v>
      </c>
      <c r="B38" s="1427" t="s">
        <v>1770</v>
      </c>
      <c r="C38" s="640" t="s">
        <v>748</v>
      </c>
      <c r="D38" s="638" t="s">
        <v>970</v>
      </c>
      <c r="E38" s="646" t="s">
        <v>1796</v>
      </c>
      <c r="F38" s="639" t="s">
        <v>1797</v>
      </c>
      <c r="G38" s="633">
        <f t="shared" si="1"/>
        <v>256.64</v>
      </c>
    </row>
    <row r="39" spans="1:7" s="623" customFormat="1" ht="36">
      <c r="A39" s="628">
        <f t="shared" si="2"/>
        <v>8</v>
      </c>
      <c r="B39" s="1427" t="s">
        <v>1771</v>
      </c>
      <c r="C39" s="640" t="s">
        <v>1772</v>
      </c>
      <c r="D39" s="638" t="s">
        <v>970</v>
      </c>
      <c r="E39" s="646" t="s">
        <v>1708</v>
      </c>
      <c r="F39" s="639" t="s">
        <v>1798</v>
      </c>
      <c r="G39" s="633">
        <f t="shared" si="1"/>
        <v>45.18</v>
      </c>
    </row>
    <row r="40" spans="1:7" s="623" customFormat="1" ht="48">
      <c r="A40" s="628">
        <f t="shared" si="2"/>
        <v>9</v>
      </c>
      <c r="B40" s="1427" t="s">
        <v>1773</v>
      </c>
      <c r="C40" s="640" t="s">
        <v>749</v>
      </c>
      <c r="D40" s="638" t="s">
        <v>195</v>
      </c>
      <c r="E40" s="646" t="s">
        <v>1799</v>
      </c>
      <c r="F40" s="639">
        <v>574.45000000000005</v>
      </c>
      <c r="G40" s="633">
        <f t="shared" si="1"/>
        <v>24.01</v>
      </c>
    </row>
    <row r="41" spans="1:7" s="623" customFormat="1" ht="36">
      <c r="A41" s="628">
        <f t="shared" si="2"/>
        <v>10</v>
      </c>
      <c r="B41" s="1427" t="s">
        <v>1774</v>
      </c>
      <c r="C41" s="640" t="s">
        <v>750</v>
      </c>
      <c r="D41" s="638" t="s">
        <v>195</v>
      </c>
      <c r="E41" s="646" t="s">
        <v>1800</v>
      </c>
      <c r="F41" s="639">
        <v>704.74</v>
      </c>
      <c r="G41" s="633">
        <f t="shared" si="1"/>
        <v>334.47</v>
      </c>
    </row>
    <row r="42" spans="1:7" s="623" customFormat="1" ht="24">
      <c r="A42" s="628">
        <f t="shared" si="2"/>
        <v>11</v>
      </c>
      <c r="B42" s="1427" t="s">
        <v>1775</v>
      </c>
      <c r="C42" s="640" t="s">
        <v>751</v>
      </c>
      <c r="D42" s="638" t="s">
        <v>195</v>
      </c>
      <c r="E42" s="646" t="s">
        <v>1801</v>
      </c>
      <c r="F42" s="639">
        <v>1261.6199999999999</v>
      </c>
      <c r="G42" s="633">
        <f t="shared" si="1"/>
        <v>37.72</v>
      </c>
    </row>
    <row r="43" spans="1:7" s="623" customFormat="1" ht="24">
      <c r="A43" s="628">
        <f t="shared" si="2"/>
        <v>12</v>
      </c>
      <c r="B43" s="1427" t="s">
        <v>1776</v>
      </c>
      <c r="C43" s="640" t="s">
        <v>752</v>
      </c>
      <c r="D43" s="638" t="s">
        <v>195</v>
      </c>
      <c r="E43" s="646" t="s">
        <v>1802</v>
      </c>
      <c r="F43" s="639">
        <v>1228.08</v>
      </c>
      <c r="G43" s="633">
        <f t="shared" si="1"/>
        <v>75.53</v>
      </c>
    </row>
    <row r="44" spans="1:7" s="623" customFormat="1" ht="24">
      <c r="A44" s="628">
        <f t="shared" si="2"/>
        <v>13</v>
      </c>
      <c r="B44" s="1427" t="s">
        <v>1777</v>
      </c>
      <c r="C44" s="640" t="s">
        <v>1778</v>
      </c>
      <c r="D44" s="638" t="s">
        <v>282</v>
      </c>
      <c r="E44" s="646" t="s">
        <v>1803</v>
      </c>
      <c r="F44" s="639">
        <v>10.59</v>
      </c>
      <c r="G44" s="633">
        <f t="shared" si="1"/>
        <v>10.45</v>
      </c>
    </row>
    <row r="45" spans="1:7" s="623" customFormat="1" ht="24">
      <c r="A45" s="628">
        <f t="shared" si="2"/>
        <v>14</v>
      </c>
      <c r="B45" s="1427" t="s">
        <v>1779</v>
      </c>
      <c r="C45" s="640" t="s">
        <v>753</v>
      </c>
      <c r="D45" s="638" t="s">
        <v>282</v>
      </c>
      <c r="E45" s="646" t="s">
        <v>1804</v>
      </c>
      <c r="F45" s="639">
        <v>10.11</v>
      </c>
      <c r="G45" s="633">
        <f t="shared" si="1"/>
        <v>24.95</v>
      </c>
    </row>
    <row r="46" spans="1:7" s="623" customFormat="1" ht="48">
      <c r="A46" s="628">
        <f t="shared" si="2"/>
        <v>15</v>
      </c>
      <c r="B46" s="1427" t="s">
        <v>1780</v>
      </c>
      <c r="C46" s="640" t="s">
        <v>1781</v>
      </c>
      <c r="D46" s="638" t="s">
        <v>195</v>
      </c>
      <c r="E46" s="646" t="s">
        <v>1805</v>
      </c>
      <c r="F46" s="639">
        <v>628.79</v>
      </c>
      <c r="G46" s="633">
        <f t="shared" si="1"/>
        <v>102.37</v>
      </c>
    </row>
    <row r="47" spans="1:7" s="623" customFormat="1" ht="36">
      <c r="A47" s="628">
        <f t="shared" si="2"/>
        <v>16</v>
      </c>
      <c r="B47" s="1427" t="s">
        <v>1782</v>
      </c>
      <c r="C47" s="640" t="s">
        <v>1783</v>
      </c>
      <c r="D47" s="638" t="s">
        <v>195</v>
      </c>
      <c r="E47" s="646" t="s">
        <v>1806</v>
      </c>
      <c r="F47" s="639">
        <v>2504.46</v>
      </c>
      <c r="G47" s="633">
        <f t="shared" si="1"/>
        <v>154.27000000000001</v>
      </c>
    </row>
    <row r="48" spans="1:7" s="623" customFormat="1" ht="36">
      <c r="A48" s="628">
        <f t="shared" si="2"/>
        <v>17</v>
      </c>
      <c r="B48" s="1427" t="s">
        <v>1784</v>
      </c>
      <c r="C48" s="640" t="s">
        <v>284</v>
      </c>
      <c r="D48" s="638" t="s">
        <v>280</v>
      </c>
      <c r="E48" s="646" t="s">
        <v>1807</v>
      </c>
      <c r="F48" s="639">
        <v>5.77</v>
      </c>
      <c r="G48" s="633">
        <f t="shared" si="1"/>
        <v>6.75</v>
      </c>
    </row>
    <row r="49" spans="1:8" s="623" customFormat="1" ht="20.100000000000001" customHeight="1">
      <c r="A49" s="628"/>
      <c r="B49" s="636"/>
      <c r="C49" s="640"/>
      <c r="D49" s="638"/>
      <c r="E49" s="639"/>
      <c r="F49" s="639"/>
      <c r="G49" s="633">
        <f t="shared" si="1"/>
        <v>0</v>
      </c>
    </row>
    <row r="50" spans="1:8" s="623" customFormat="1" ht="20.100000000000001" customHeight="1">
      <c r="A50" s="628"/>
      <c r="B50" s="636"/>
      <c r="C50" s="640"/>
      <c r="D50" s="638"/>
      <c r="E50" s="639"/>
      <c r="F50" s="639"/>
      <c r="G50" s="633">
        <f t="shared" si="1"/>
        <v>0</v>
      </c>
    </row>
    <row r="51" spans="1:8" s="623" customFormat="1" ht="20.100000000000001" customHeight="1">
      <c r="A51" s="2409" t="s">
        <v>565</v>
      </c>
      <c r="B51" s="2410"/>
      <c r="C51" s="2410"/>
      <c r="D51" s="2410"/>
      <c r="E51" s="2410"/>
      <c r="F51" s="2410"/>
      <c r="G51" s="635">
        <f>SUM(G32:G50)</f>
        <v>1157.58</v>
      </c>
    </row>
    <row r="52" spans="1:8" s="627" customFormat="1" ht="20.100000000000001" customHeight="1">
      <c r="A52" s="2393" t="s">
        <v>48</v>
      </c>
      <c r="B52" s="2394"/>
      <c r="C52" s="2394"/>
      <c r="D52" s="2394"/>
      <c r="E52" s="2394"/>
      <c r="F52" s="2394"/>
      <c r="G52" s="2395"/>
      <c r="H52" s="626"/>
    </row>
    <row r="53" spans="1:8" s="627" customFormat="1" ht="20.100000000000001" customHeight="1">
      <c r="A53" s="156" t="s">
        <v>35</v>
      </c>
      <c r="B53" s="157"/>
      <c r="C53" s="157" t="s">
        <v>49</v>
      </c>
      <c r="D53" s="2396" t="s">
        <v>704</v>
      </c>
      <c r="E53" s="2397"/>
      <c r="F53" s="2397"/>
      <c r="G53" s="2398"/>
      <c r="H53" s="626"/>
    </row>
    <row r="54" spans="1:8" s="627" customFormat="1" ht="20.100000000000001" customHeight="1">
      <c r="A54" s="156" t="s">
        <v>50</v>
      </c>
      <c r="B54" s="157"/>
      <c r="C54" s="157" t="s">
        <v>51</v>
      </c>
      <c r="D54" s="2383" t="s">
        <v>52</v>
      </c>
      <c r="E54" s="2383"/>
      <c r="F54" s="2383"/>
      <c r="G54" s="158">
        <f>G16</f>
        <v>389.76</v>
      </c>
      <c r="H54" s="626"/>
    </row>
    <row r="55" spans="1:8" s="627" customFormat="1" ht="20.100000000000001" customHeight="1">
      <c r="A55" s="156" t="s">
        <v>53</v>
      </c>
      <c r="B55" s="157"/>
      <c r="C55" s="157" t="s">
        <v>54</v>
      </c>
      <c r="D55" s="2383" t="s">
        <v>55</v>
      </c>
      <c r="E55" s="2383"/>
      <c r="F55" s="2383"/>
      <c r="G55" s="158">
        <f>G30</f>
        <v>8.75</v>
      </c>
      <c r="H55" s="626"/>
    </row>
    <row r="56" spans="1:8" s="627" customFormat="1" ht="20.100000000000001" customHeight="1">
      <c r="A56" s="156" t="s">
        <v>14</v>
      </c>
      <c r="B56" s="157"/>
      <c r="C56" s="157" t="s">
        <v>56</v>
      </c>
      <c r="D56" s="2383" t="s">
        <v>57</v>
      </c>
      <c r="E56" s="2383"/>
      <c r="F56" s="2383"/>
      <c r="G56" s="158">
        <f>G51</f>
        <v>1157.58</v>
      </c>
      <c r="H56" s="626"/>
    </row>
    <row r="57" spans="1:8" s="627" customFormat="1" ht="20.100000000000001" customHeight="1">
      <c r="A57" s="156" t="s">
        <v>7</v>
      </c>
      <c r="B57" s="157"/>
      <c r="C57" s="565" t="s">
        <v>58</v>
      </c>
      <c r="D57" s="2384" t="s">
        <v>59</v>
      </c>
      <c r="E57" s="2384"/>
      <c r="F57" s="2384"/>
      <c r="G57" s="566">
        <f>G54+G55+G56</f>
        <v>1556.09</v>
      </c>
      <c r="H57" s="626"/>
    </row>
    <row r="58" spans="1:8" s="627" customFormat="1" ht="20.100000000000001" customHeight="1">
      <c r="A58" s="156"/>
      <c r="B58" s="157"/>
      <c r="C58" s="565"/>
      <c r="D58" s="2385" t="s">
        <v>198</v>
      </c>
      <c r="E58" s="2386"/>
      <c r="F58" s="567">
        <v>0.27460000000000001</v>
      </c>
      <c r="G58" s="159">
        <f>G57*F58</f>
        <v>427.3</v>
      </c>
      <c r="H58" s="626"/>
    </row>
    <row r="59" spans="1:8" s="627" customFormat="1" ht="20.100000000000001" customHeight="1" thickBot="1">
      <c r="A59" s="2387" t="s">
        <v>61</v>
      </c>
      <c r="B59" s="2388"/>
      <c r="C59" s="2388"/>
      <c r="D59" s="2388"/>
      <c r="E59" s="2388"/>
      <c r="F59" s="2389"/>
      <c r="G59" s="160">
        <f>G57+G58</f>
        <v>1983.39</v>
      </c>
      <c r="H59" s="626"/>
    </row>
    <row r="60" spans="1:8" s="623" customFormat="1" ht="20.100000000000001" customHeight="1">
      <c r="A60" s="641"/>
      <c r="B60" s="642"/>
      <c r="C60" s="642"/>
      <c r="D60" s="643"/>
      <c r="E60" s="642"/>
      <c r="F60" s="642"/>
      <c r="G60" s="644"/>
    </row>
  </sheetData>
  <mergeCells count="23">
    <mergeCell ref="B1:G1"/>
    <mergeCell ref="A3:G3"/>
    <mergeCell ref="A4:G4"/>
    <mergeCell ref="A5:G5"/>
    <mergeCell ref="B7:G7"/>
    <mergeCell ref="B8:G8"/>
    <mergeCell ref="D54:F54"/>
    <mergeCell ref="C9:F9"/>
    <mergeCell ref="C10:F10"/>
    <mergeCell ref="A11:G11"/>
    <mergeCell ref="A13:G13"/>
    <mergeCell ref="A16:F16"/>
    <mergeCell ref="A17:G17"/>
    <mergeCell ref="A30:F30"/>
    <mergeCell ref="A31:G31"/>
    <mergeCell ref="A51:F51"/>
    <mergeCell ref="A52:G52"/>
    <mergeCell ref="D53:G53"/>
    <mergeCell ref="D55:F55"/>
    <mergeCell ref="D56:F56"/>
    <mergeCell ref="D57:F57"/>
    <mergeCell ref="D58:E58"/>
    <mergeCell ref="A59:F59"/>
  </mergeCells>
  <printOptions horizontalCentered="1"/>
  <pageMargins left="0.51181102362204722" right="0.51181102362204722" top="0.78740157480314965" bottom="0.78740157480314965" header="0.31496062992125984" footer="0.31496062992125984"/>
  <pageSetup paperSize="9" scale="80"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H42"/>
  <sheetViews>
    <sheetView view="pageBreakPreview" topLeftCell="A28" zoomScaleNormal="100" zoomScaleSheetLayoutView="100" workbookViewId="0">
      <selection activeCell="A13" sqref="A13:G13"/>
    </sheetView>
  </sheetViews>
  <sheetFormatPr defaultColWidth="9.28515625" defaultRowHeight="14.25"/>
  <cols>
    <col min="1" max="2" width="10.7109375" style="235" customWidth="1"/>
    <col min="3" max="3" width="40.7109375" style="235" customWidth="1"/>
    <col min="4" max="4" width="10.7109375" style="235" customWidth="1"/>
    <col min="5" max="7" width="14.7109375" style="235" customWidth="1"/>
    <col min="8" max="16384" width="9.28515625" style="235"/>
  </cols>
  <sheetData>
    <row r="1" spans="1:8" s="232" customFormat="1" ht="15" customHeight="1">
      <c r="A1" s="231"/>
      <c r="B1" s="2417"/>
      <c r="C1" s="2417"/>
      <c r="D1" s="2417"/>
      <c r="E1" s="2417"/>
      <c r="F1" s="2417"/>
      <c r="G1" s="2418"/>
    </row>
    <row r="2" spans="1:8" s="232" customFormat="1" ht="45.75" customHeight="1">
      <c r="A2" s="236"/>
      <c r="B2" s="549"/>
      <c r="C2" s="549"/>
      <c r="D2" s="549"/>
      <c r="E2" s="549"/>
      <c r="F2" s="549"/>
      <c r="G2" s="542"/>
    </row>
    <row r="3" spans="1:8" s="232" customFormat="1" ht="15" customHeight="1">
      <c r="A3" s="2352" t="s">
        <v>18</v>
      </c>
      <c r="B3" s="2353"/>
      <c r="C3" s="2353"/>
      <c r="D3" s="2353"/>
      <c r="E3" s="2353"/>
      <c r="F3" s="2353"/>
      <c r="G3" s="2354"/>
    </row>
    <row r="4" spans="1:8" s="232" customFormat="1" ht="15" customHeight="1">
      <c r="A4" s="2355" t="s">
        <v>187</v>
      </c>
      <c r="B4" s="2356"/>
      <c r="C4" s="2356"/>
      <c r="D4" s="2356"/>
      <c r="E4" s="2356"/>
      <c r="F4" s="2356"/>
      <c r="G4" s="2357"/>
    </row>
    <row r="5" spans="1:8" s="232" customFormat="1" ht="15" customHeight="1">
      <c r="A5" s="2355" t="s">
        <v>17</v>
      </c>
      <c r="B5" s="2356"/>
      <c r="C5" s="2356"/>
      <c r="D5" s="2356"/>
      <c r="E5" s="2356"/>
      <c r="F5" s="2356"/>
      <c r="G5" s="2357"/>
    </row>
    <row r="6" spans="1:8" s="232" customFormat="1" ht="15" customHeight="1">
      <c r="A6" s="543"/>
      <c r="B6" s="550"/>
      <c r="C6" s="550"/>
      <c r="D6" s="550"/>
      <c r="E6" s="550"/>
      <c r="F6" s="550"/>
      <c r="G6" s="544"/>
    </row>
    <row r="7" spans="1:8" s="234" customFormat="1" ht="33" customHeight="1">
      <c r="A7" s="551" t="s">
        <v>700</v>
      </c>
      <c r="B7" s="2358" t="str">
        <f>'PLANILHA GERAL'!D9</f>
        <v>OBRAS DE PREVENÇÕES DE ALAGAMENTOS E CHEIAS, INFRAESTRUTURA URBANA E CONSTRUÇÕES DIVERSAS NO MUNICÍPIO DE ANANINDEUA/PA</v>
      </c>
      <c r="C7" s="2359"/>
      <c r="D7" s="2359"/>
      <c r="E7" s="2359"/>
      <c r="F7" s="2359"/>
      <c r="G7" s="2360"/>
    </row>
    <row r="8" spans="1:8" s="232" customFormat="1" ht="15" customHeight="1" thickBot="1">
      <c r="A8" s="233"/>
      <c r="B8" s="2361"/>
      <c r="C8" s="2361"/>
      <c r="D8" s="2361"/>
      <c r="E8" s="2361"/>
      <c r="F8" s="2361"/>
      <c r="G8" s="2362"/>
    </row>
    <row r="9" spans="1:8" s="234" customFormat="1" ht="24" customHeight="1" thickTop="1">
      <c r="A9" s="545" t="s">
        <v>185</v>
      </c>
      <c r="B9" s="547" t="s">
        <v>701</v>
      </c>
      <c r="C9" s="2349" t="s">
        <v>702</v>
      </c>
      <c r="D9" s="2350"/>
      <c r="E9" s="2350"/>
      <c r="F9" s="2351"/>
      <c r="G9" s="312" t="s">
        <v>566</v>
      </c>
    </row>
    <row r="10" spans="1:8" s="234" customFormat="1" ht="36" customHeight="1" thickBot="1">
      <c r="A10" s="546" t="str">
        <f>'PLANILHA GERAL'!E132</f>
        <v>IV</v>
      </c>
      <c r="B10" s="552">
        <v>100565</v>
      </c>
      <c r="C10" s="2400" t="str">
        <f>'PLANILHA GERAL'!F132</f>
        <v xml:space="preserve">Execução e compactação de base e ou sub base para pavimentação de solo arenoso (SOLO MELHORADO COM PEDREGULHO OU BRITA) - exclusive escavação, carga e transporte. </v>
      </c>
      <c r="D10" s="2401"/>
      <c r="E10" s="2401"/>
      <c r="F10" s="2402"/>
      <c r="G10" s="155" t="str">
        <f>'PLANILHA GERAL'!H132</f>
        <v>m³</v>
      </c>
    </row>
    <row r="11" spans="1:8" s="234" customFormat="1" ht="12.75" customHeight="1" thickTop="1">
      <c r="A11" s="2363"/>
      <c r="B11" s="2364"/>
      <c r="C11" s="2364"/>
      <c r="D11" s="2364"/>
      <c r="E11" s="2364"/>
      <c r="F11" s="2364"/>
      <c r="G11" s="2365"/>
    </row>
    <row r="12" spans="1:8" s="171" customFormat="1" ht="20.100000000000001" customHeight="1">
      <c r="A12" s="241" t="s">
        <v>35</v>
      </c>
      <c r="B12" s="242" t="s">
        <v>263</v>
      </c>
      <c r="C12" s="243" t="s">
        <v>699</v>
      </c>
      <c r="D12" s="242" t="s">
        <v>37</v>
      </c>
      <c r="E12" s="243" t="s">
        <v>151</v>
      </c>
      <c r="F12" s="244" t="s">
        <v>38</v>
      </c>
      <c r="G12" s="245" t="s">
        <v>703</v>
      </c>
      <c r="H12" s="165"/>
    </row>
    <row r="13" spans="1:8" s="234" customFormat="1" ht="20.100000000000001" customHeight="1">
      <c r="A13" s="2366" t="s">
        <v>34</v>
      </c>
      <c r="B13" s="2367"/>
      <c r="C13" s="2367"/>
      <c r="D13" s="2367"/>
      <c r="E13" s="2367"/>
      <c r="F13" s="2367"/>
      <c r="G13" s="2368"/>
    </row>
    <row r="14" spans="1:8" s="234" customFormat="1" ht="20.100000000000001" customHeight="1">
      <c r="A14" s="553">
        <v>1</v>
      </c>
      <c r="B14" s="238" t="s">
        <v>42</v>
      </c>
      <c r="C14" s="554" t="s">
        <v>163</v>
      </c>
      <c r="D14" s="462" t="s">
        <v>229</v>
      </c>
      <c r="E14" s="574">
        <v>0.16</v>
      </c>
      <c r="F14" s="555">
        <f>Composição4!E21</f>
        <v>19.940000000000001</v>
      </c>
      <c r="G14" s="556">
        <f>E14*F14</f>
        <v>3.19</v>
      </c>
    </row>
    <row r="15" spans="1:8" s="234" customFormat="1" ht="20.100000000000001" customHeight="1">
      <c r="A15" s="2369" t="s">
        <v>563</v>
      </c>
      <c r="B15" s="2370"/>
      <c r="C15" s="2370"/>
      <c r="D15" s="2370"/>
      <c r="E15" s="2370"/>
      <c r="F15" s="2370"/>
      <c r="G15" s="557">
        <f>SUM(G14:G14)</f>
        <v>3.19</v>
      </c>
    </row>
    <row r="16" spans="1:8" s="234" customFormat="1" ht="20.100000000000001" customHeight="1">
      <c r="A16" s="2371" t="s">
        <v>44</v>
      </c>
      <c r="B16" s="2372"/>
      <c r="C16" s="2372"/>
      <c r="D16" s="2372"/>
      <c r="E16" s="2372"/>
      <c r="F16" s="2372"/>
      <c r="G16" s="2373"/>
    </row>
    <row r="17" spans="1:7" s="234" customFormat="1" ht="27.75" customHeight="1">
      <c r="A17" s="553">
        <v>1</v>
      </c>
      <c r="B17" s="1431" t="s">
        <v>230</v>
      </c>
      <c r="C17" s="559" t="s">
        <v>1732</v>
      </c>
      <c r="D17" s="560" t="s">
        <v>174</v>
      </c>
      <c r="E17" s="574" t="s">
        <v>1736</v>
      </c>
      <c r="F17" s="562">
        <v>160.24</v>
      </c>
      <c r="G17" s="556">
        <f t="shared" ref="G17:G28" si="0">E17*F17</f>
        <v>1.92</v>
      </c>
    </row>
    <row r="18" spans="1:7" s="234" customFormat="1" ht="27.75" customHeight="1">
      <c r="A18" s="553">
        <v>2</v>
      </c>
      <c r="B18" s="1431" t="s">
        <v>231</v>
      </c>
      <c r="C18" s="559" t="s">
        <v>1733</v>
      </c>
      <c r="D18" s="560" t="s">
        <v>176</v>
      </c>
      <c r="E18" s="574" t="s">
        <v>1737</v>
      </c>
      <c r="F18" s="562">
        <v>63.07</v>
      </c>
      <c r="G18" s="556">
        <f t="shared" si="0"/>
        <v>1.77</v>
      </c>
    </row>
    <row r="19" spans="1:7" s="234" customFormat="1" ht="27.75" customHeight="1">
      <c r="A19" s="553">
        <v>3</v>
      </c>
      <c r="B19" s="1431" t="s">
        <v>265</v>
      </c>
      <c r="C19" s="559" t="s">
        <v>266</v>
      </c>
      <c r="D19" s="560" t="s">
        <v>174</v>
      </c>
      <c r="E19" s="574" t="s">
        <v>1738</v>
      </c>
      <c r="F19" s="562">
        <v>316.20999999999998</v>
      </c>
      <c r="G19" s="556">
        <f t="shared" si="0"/>
        <v>1.26</v>
      </c>
    </row>
    <row r="20" spans="1:7" s="234" customFormat="1" ht="27.75" customHeight="1">
      <c r="A20" s="553">
        <v>4</v>
      </c>
      <c r="B20" s="1431" t="s">
        <v>267</v>
      </c>
      <c r="C20" s="559" t="s">
        <v>268</v>
      </c>
      <c r="D20" s="560" t="s">
        <v>176</v>
      </c>
      <c r="E20" s="574" t="s">
        <v>1739</v>
      </c>
      <c r="F20" s="562">
        <v>68.77</v>
      </c>
      <c r="G20" s="556">
        <f t="shared" si="0"/>
        <v>2.48</v>
      </c>
    </row>
    <row r="21" spans="1:7" s="234" customFormat="1" ht="27.75" customHeight="1">
      <c r="A21" s="553">
        <v>5</v>
      </c>
      <c r="B21" s="1431" t="s">
        <v>349</v>
      </c>
      <c r="C21" s="559" t="s">
        <v>1734</v>
      </c>
      <c r="D21" s="560" t="s">
        <v>174</v>
      </c>
      <c r="E21" s="574" t="s">
        <v>1740</v>
      </c>
      <c r="F21" s="562">
        <v>4.9400000000000004</v>
      </c>
      <c r="G21" s="556">
        <f t="shared" si="0"/>
        <v>0.04</v>
      </c>
    </row>
    <row r="22" spans="1:7" s="234" customFormat="1" ht="27.75" customHeight="1">
      <c r="A22" s="553">
        <v>6</v>
      </c>
      <c r="B22" s="1431" t="s">
        <v>350</v>
      </c>
      <c r="C22" s="559" t="s">
        <v>1735</v>
      </c>
      <c r="D22" s="560" t="s">
        <v>176</v>
      </c>
      <c r="E22" s="574" t="s">
        <v>1742</v>
      </c>
      <c r="F22" s="562" t="s">
        <v>1743</v>
      </c>
      <c r="G22" s="556">
        <f t="shared" si="0"/>
        <v>0.1</v>
      </c>
    </row>
    <row r="23" spans="1:7" s="234" customFormat="1" ht="27.75" customHeight="1">
      <c r="A23" s="553">
        <v>7</v>
      </c>
      <c r="B23" s="1431" t="s">
        <v>269</v>
      </c>
      <c r="C23" s="559" t="s">
        <v>270</v>
      </c>
      <c r="D23" s="560" t="s">
        <v>174</v>
      </c>
      <c r="E23" s="574" t="s">
        <v>1740</v>
      </c>
      <c r="F23" s="562">
        <v>269.61</v>
      </c>
      <c r="G23" s="556">
        <f t="shared" si="0"/>
        <v>2.16</v>
      </c>
    </row>
    <row r="24" spans="1:7" s="234" customFormat="1" ht="27.75" customHeight="1">
      <c r="A24" s="553">
        <v>8</v>
      </c>
      <c r="B24" s="1431" t="s">
        <v>271</v>
      </c>
      <c r="C24" s="559" t="s">
        <v>272</v>
      </c>
      <c r="D24" s="560" t="s">
        <v>176</v>
      </c>
      <c r="E24" s="574" t="s">
        <v>1742</v>
      </c>
      <c r="F24" s="562">
        <v>100.24</v>
      </c>
      <c r="G24" s="556">
        <f t="shared" si="0"/>
        <v>3.21</v>
      </c>
    </row>
    <row r="25" spans="1:7" s="234" customFormat="1" ht="27.75" customHeight="1">
      <c r="A25" s="553">
        <v>9</v>
      </c>
      <c r="B25" s="1431" t="s">
        <v>351</v>
      </c>
      <c r="C25" s="559" t="s">
        <v>256</v>
      </c>
      <c r="D25" s="560" t="s">
        <v>174</v>
      </c>
      <c r="E25" s="574" t="s">
        <v>1740</v>
      </c>
      <c r="F25" s="562">
        <v>124.44</v>
      </c>
      <c r="G25" s="556">
        <f t="shared" si="0"/>
        <v>1</v>
      </c>
    </row>
    <row r="26" spans="1:7" s="234" customFormat="1" ht="27.75" customHeight="1">
      <c r="A26" s="553">
        <v>10</v>
      </c>
      <c r="B26" s="1431" t="s">
        <v>352</v>
      </c>
      <c r="C26" s="559" t="s">
        <v>257</v>
      </c>
      <c r="D26" s="560" t="s">
        <v>176</v>
      </c>
      <c r="E26" s="574" t="s">
        <v>1742</v>
      </c>
      <c r="F26" s="562">
        <v>41.3</v>
      </c>
      <c r="G26" s="556">
        <f t="shared" si="0"/>
        <v>1.32</v>
      </c>
    </row>
    <row r="27" spans="1:7" s="234" customFormat="1" ht="27.75" customHeight="1">
      <c r="A27" s="553">
        <v>11</v>
      </c>
      <c r="B27" s="1431" t="s">
        <v>273</v>
      </c>
      <c r="C27" s="559" t="s">
        <v>1744</v>
      </c>
      <c r="D27" s="560" t="s">
        <v>174</v>
      </c>
      <c r="E27" s="574" t="s">
        <v>1746</v>
      </c>
      <c r="F27" s="562">
        <v>218.71</v>
      </c>
      <c r="G27" s="556">
        <f t="shared" si="0"/>
        <v>1.0900000000000001</v>
      </c>
    </row>
    <row r="28" spans="1:7" s="234" customFormat="1" ht="27.75" customHeight="1">
      <c r="A28" s="553">
        <v>12</v>
      </c>
      <c r="B28" s="1431" t="s">
        <v>274</v>
      </c>
      <c r="C28" s="559" t="s">
        <v>1745</v>
      </c>
      <c r="D28" s="560" t="s">
        <v>176</v>
      </c>
      <c r="E28" s="574" t="s">
        <v>1747</v>
      </c>
      <c r="F28" s="562">
        <v>89.06</v>
      </c>
      <c r="G28" s="556">
        <f t="shared" si="0"/>
        <v>3.12</v>
      </c>
    </row>
    <row r="29" spans="1:7" s="234" customFormat="1" ht="20.100000000000001" customHeight="1">
      <c r="A29" s="2369" t="s">
        <v>564</v>
      </c>
      <c r="B29" s="2370"/>
      <c r="C29" s="2370"/>
      <c r="D29" s="2370"/>
      <c r="E29" s="2370"/>
      <c r="F29" s="2370"/>
      <c r="G29" s="557">
        <f>SUM(G17:G28)</f>
        <v>19.47</v>
      </c>
    </row>
    <row r="30" spans="1:7" s="234" customFormat="1" ht="20.100000000000001" customHeight="1">
      <c r="A30" s="2390" t="s">
        <v>46</v>
      </c>
      <c r="B30" s="2391"/>
      <c r="C30" s="2391"/>
      <c r="D30" s="2391"/>
      <c r="E30" s="2391"/>
      <c r="F30" s="2391"/>
      <c r="G30" s="2392"/>
    </row>
    <row r="31" spans="1:7" s="234" customFormat="1" ht="24">
      <c r="A31" s="553">
        <v>1</v>
      </c>
      <c r="B31" s="1431" t="s">
        <v>1731</v>
      </c>
      <c r="C31" s="1426" t="s">
        <v>715</v>
      </c>
      <c r="D31" s="560" t="s">
        <v>512</v>
      </c>
      <c r="E31" s="562">
        <f>0.7</f>
        <v>0.7</v>
      </c>
      <c r="F31" s="562" t="s">
        <v>1730</v>
      </c>
      <c r="G31" s="556">
        <f>E31*F31</f>
        <v>153.19999999999999</v>
      </c>
    </row>
    <row r="32" spans="1:7" s="234" customFormat="1">
      <c r="A32" s="553">
        <v>2</v>
      </c>
      <c r="B32" s="1431">
        <v>6079</v>
      </c>
      <c r="C32" s="563" t="s">
        <v>506</v>
      </c>
      <c r="D32" s="560" t="s">
        <v>512</v>
      </c>
      <c r="E32" s="562">
        <f>0.3</f>
        <v>0.3</v>
      </c>
      <c r="F32" s="562">
        <v>37.35</v>
      </c>
      <c r="G32" s="556">
        <f>E32*F32</f>
        <v>11.21</v>
      </c>
    </row>
    <row r="33" spans="1:8" s="234" customFormat="1" ht="20.100000000000001" customHeight="1">
      <c r="A33" s="2369" t="s">
        <v>565</v>
      </c>
      <c r="B33" s="2370"/>
      <c r="C33" s="2370"/>
      <c r="D33" s="2370"/>
      <c r="E33" s="2370"/>
      <c r="F33" s="2370"/>
      <c r="G33" s="557">
        <f>SUM(G31:G32)</f>
        <v>164.41</v>
      </c>
    </row>
    <row r="34" spans="1:8" s="171" customFormat="1" ht="20.100000000000001" customHeight="1">
      <c r="A34" s="2393" t="s">
        <v>48</v>
      </c>
      <c r="B34" s="2394"/>
      <c r="C34" s="2394"/>
      <c r="D34" s="2394"/>
      <c r="E34" s="2394"/>
      <c r="F34" s="2394"/>
      <c r="G34" s="2395"/>
      <c r="H34" s="165"/>
    </row>
    <row r="35" spans="1:8" s="171" customFormat="1" ht="20.100000000000001" customHeight="1">
      <c r="A35" s="156" t="s">
        <v>35</v>
      </c>
      <c r="B35" s="157"/>
      <c r="C35" s="157" t="s">
        <v>49</v>
      </c>
      <c r="D35" s="2396" t="s">
        <v>704</v>
      </c>
      <c r="E35" s="2397"/>
      <c r="F35" s="2397"/>
      <c r="G35" s="2398"/>
      <c r="H35" s="165"/>
    </row>
    <row r="36" spans="1:8" s="171" customFormat="1" ht="20.100000000000001" customHeight="1">
      <c r="A36" s="156" t="s">
        <v>50</v>
      </c>
      <c r="B36" s="157"/>
      <c r="C36" s="157" t="s">
        <v>51</v>
      </c>
      <c r="D36" s="2383" t="s">
        <v>52</v>
      </c>
      <c r="E36" s="2383"/>
      <c r="F36" s="2383"/>
      <c r="G36" s="158">
        <f>G15</f>
        <v>3.19</v>
      </c>
      <c r="H36" s="165"/>
    </row>
    <row r="37" spans="1:8" s="171" customFormat="1" ht="20.100000000000001" customHeight="1">
      <c r="A37" s="156" t="s">
        <v>53</v>
      </c>
      <c r="B37" s="157"/>
      <c r="C37" s="157" t="s">
        <v>54</v>
      </c>
      <c r="D37" s="2383" t="s">
        <v>55</v>
      </c>
      <c r="E37" s="2383"/>
      <c r="F37" s="2383"/>
      <c r="G37" s="158">
        <f>G29</f>
        <v>19.47</v>
      </c>
      <c r="H37" s="165"/>
    </row>
    <row r="38" spans="1:8" s="171" customFormat="1" ht="20.100000000000001" customHeight="1">
      <c r="A38" s="156" t="s">
        <v>14</v>
      </c>
      <c r="B38" s="157"/>
      <c r="C38" s="157" t="s">
        <v>56</v>
      </c>
      <c r="D38" s="2383" t="s">
        <v>57</v>
      </c>
      <c r="E38" s="2383"/>
      <c r="F38" s="2383"/>
      <c r="G38" s="158">
        <f>G33</f>
        <v>164.41</v>
      </c>
      <c r="H38" s="165"/>
    </row>
    <row r="39" spans="1:8" s="171" customFormat="1" ht="20.100000000000001" customHeight="1">
      <c r="A39" s="156" t="s">
        <v>7</v>
      </c>
      <c r="B39" s="157"/>
      <c r="C39" s="565" t="s">
        <v>58</v>
      </c>
      <c r="D39" s="2384" t="s">
        <v>59</v>
      </c>
      <c r="E39" s="2384"/>
      <c r="F39" s="2384"/>
      <c r="G39" s="566">
        <f>G36+G37+G38</f>
        <v>187.07</v>
      </c>
      <c r="H39" s="165"/>
    </row>
    <row r="40" spans="1:8" s="171" customFormat="1" ht="20.100000000000001" customHeight="1">
      <c r="A40" s="156"/>
      <c r="B40" s="157"/>
      <c r="C40" s="565"/>
      <c r="D40" s="2385" t="s">
        <v>198</v>
      </c>
      <c r="E40" s="2386"/>
      <c r="F40" s="567">
        <v>0.27460000000000001</v>
      </c>
      <c r="G40" s="159">
        <f>G39*F40</f>
        <v>51.37</v>
      </c>
      <c r="H40" s="165"/>
    </row>
    <row r="41" spans="1:8" s="171" customFormat="1" ht="20.100000000000001" customHeight="1" thickBot="1">
      <c r="A41" s="2387" t="s">
        <v>61</v>
      </c>
      <c r="B41" s="2388"/>
      <c r="C41" s="2388"/>
      <c r="D41" s="2388"/>
      <c r="E41" s="2388"/>
      <c r="F41" s="2389"/>
      <c r="G41" s="160">
        <f>G39+G40</f>
        <v>238.44</v>
      </c>
      <c r="H41" s="165"/>
    </row>
    <row r="42" spans="1:8" s="234" customFormat="1" ht="20.100000000000001" customHeight="1">
      <c r="A42" s="568"/>
      <c r="B42" s="569"/>
      <c r="C42" s="569"/>
      <c r="D42" s="570"/>
      <c r="E42" s="569"/>
      <c r="F42" s="569"/>
      <c r="G42" s="571"/>
    </row>
  </sheetData>
  <mergeCells count="23">
    <mergeCell ref="D37:F37"/>
    <mergeCell ref="D38:F38"/>
    <mergeCell ref="D39:F39"/>
    <mergeCell ref="D40:E40"/>
    <mergeCell ref="A41:F41"/>
    <mergeCell ref="D36:F36"/>
    <mergeCell ref="C9:F9"/>
    <mergeCell ref="C10:F10"/>
    <mergeCell ref="A11:G11"/>
    <mergeCell ref="A13:G13"/>
    <mergeCell ref="A15:F15"/>
    <mergeCell ref="A16:G16"/>
    <mergeCell ref="A29:F29"/>
    <mergeCell ref="A30:G30"/>
    <mergeCell ref="A33:F33"/>
    <mergeCell ref="A34:G34"/>
    <mergeCell ref="D35:G35"/>
    <mergeCell ref="B8:G8"/>
    <mergeCell ref="B1:G1"/>
    <mergeCell ref="A3:G3"/>
    <mergeCell ref="A4:G4"/>
    <mergeCell ref="A5:G5"/>
    <mergeCell ref="B7:G7"/>
  </mergeCells>
  <phoneticPr fontId="40" type="noConversion"/>
  <pageMargins left="0.511811024" right="0.511811024" top="0.78740157499999996" bottom="0.78740157499999996" header="0.31496062000000002" footer="0.31496062000000002"/>
  <pageSetup paperSize="9" scale="7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N41"/>
  <sheetViews>
    <sheetView view="pageBreakPreview" topLeftCell="A25" zoomScaleNormal="100" zoomScaleSheetLayoutView="100" workbookViewId="0">
      <selection activeCell="A15" sqref="A15:F15"/>
    </sheetView>
  </sheetViews>
  <sheetFormatPr defaultColWidth="9.28515625" defaultRowHeight="14.25"/>
  <cols>
    <col min="1" max="2" width="10.7109375" style="235" customWidth="1"/>
    <col min="3" max="3" width="40.7109375" style="235" customWidth="1"/>
    <col min="4" max="4" width="10.7109375" style="235" customWidth="1"/>
    <col min="5" max="7" width="14.7109375" style="235" customWidth="1"/>
    <col min="8" max="9" width="9.28515625" style="235"/>
    <col min="10" max="10" width="15.7109375" style="235" customWidth="1"/>
    <col min="11" max="16384" width="9.28515625" style="235"/>
  </cols>
  <sheetData>
    <row r="1" spans="1:14" s="232" customFormat="1" ht="15" customHeight="1">
      <c r="A1" s="231"/>
      <c r="B1" s="2417"/>
      <c r="C1" s="2417"/>
      <c r="D1" s="2417"/>
      <c r="E1" s="2417"/>
      <c r="F1" s="2417"/>
      <c r="G1" s="2418"/>
    </row>
    <row r="2" spans="1:14" s="232" customFormat="1" ht="45.75" customHeight="1">
      <c r="A2" s="236"/>
      <c r="B2" s="549"/>
      <c r="C2" s="549"/>
      <c r="D2" s="549"/>
      <c r="E2" s="549"/>
      <c r="F2" s="549"/>
      <c r="G2" s="542"/>
    </row>
    <row r="3" spans="1:14" s="232" customFormat="1" ht="15" customHeight="1">
      <c r="A3" s="2352" t="s">
        <v>18</v>
      </c>
      <c r="B3" s="2353"/>
      <c r="C3" s="2353"/>
      <c r="D3" s="2353"/>
      <c r="E3" s="2353"/>
      <c r="F3" s="2353"/>
      <c r="G3" s="2354"/>
    </row>
    <row r="4" spans="1:14" s="232" customFormat="1" ht="15" customHeight="1">
      <c r="A4" s="2355" t="s">
        <v>187</v>
      </c>
      <c r="B4" s="2356"/>
      <c r="C4" s="2356"/>
      <c r="D4" s="2356"/>
      <c r="E4" s="2356"/>
      <c r="F4" s="2356"/>
      <c r="G4" s="2357"/>
    </row>
    <row r="5" spans="1:14" s="232" customFormat="1" ht="15" customHeight="1">
      <c r="A5" s="2355" t="s">
        <v>17</v>
      </c>
      <c r="B5" s="2356"/>
      <c r="C5" s="2356"/>
      <c r="D5" s="2356"/>
      <c r="E5" s="2356"/>
      <c r="F5" s="2356"/>
      <c r="G5" s="2357"/>
    </row>
    <row r="6" spans="1:14" s="232" customFormat="1" ht="15" customHeight="1">
      <c r="A6" s="543"/>
      <c r="B6" s="550"/>
      <c r="C6" s="550"/>
      <c r="D6" s="550"/>
      <c r="E6" s="550"/>
      <c r="F6" s="550"/>
      <c r="G6" s="544"/>
    </row>
    <row r="7" spans="1:14" s="234" customFormat="1" ht="29.25" customHeight="1">
      <c r="A7" s="551" t="s">
        <v>700</v>
      </c>
      <c r="B7" s="2358" t="str">
        <f>'PLANILHA GERAL'!D9</f>
        <v>OBRAS DE PREVENÇÕES DE ALAGAMENTOS E CHEIAS, INFRAESTRUTURA URBANA E CONSTRUÇÕES DIVERSAS NO MUNICÍPIO DE ANANINDEUA/PA</v>
      </c>
      <c r="C7" s="2359"/>
      <c r="D7" s="2359"/>
      <c r="E7" s="2359"/>
      <c r="F7" s="2359"/>
      <c r="G7" s="2360"/>
    </row>
    <row r="8" spans="1:14" s="232" customFormat="1" ht="15" customHeight="1" thickBot="1">
      <c r="A8" s="233"/>
      <c r="B8" s="2361"/>
      <c r="C8" s="2361"/>
      <c r="D8" s="2361"/>
      <c r="E8" s="2361"/>
      <c r="F8" s="2361"/>
      <c r="G8" s="2362"/>
    </row>
    <row r="9" spans="1:14" s="234" customFormat="1" ht="24" customHeight="1" thickTop="1">
      <c r="A9" s="545" t="s">
        <v>185</v>
      </c>
      <c r="B9" s="547" t="s">
        <v>701</v>
      </c>
      <c r="C9" s="2349" t="s">
        <v>702</v>
      </c>
      <c r="D9" s="2350"/>
      <c r="E9" s="2350"/>
      <c r="F9" s="2351"/>
      <c r="G9" s="312" t="s">
        <v>566</v>
      </c>
    </row>
    <row r="10" spans="1:14" s="234" customFormat="1" ht="29.25" customHeight="1" thickBot="1">
      <c r="A10" s="546" t="str">
        <f>'PLANILHA GERAL'!E137</f>
        <v>V</v>
      </c>
      <c r="B10" s="552">
        <v>101768</v>
      </c>
      <c r="C10" s="2400" t="str">
        <f>'PLANILHA GERAL'!F137</f>
        <v xml:space="preserve">Execução e compactação de base e ou sub base para pavimentação de solo estabilizado granulometricamente sem mistura de solos - exclusive escavação, carga e transporte. AF_11/2019. </v>
      </c>
      <c r="D10" s="2401"/>
      <c r="E10" s="2401"/>
      <c r="F10" s="2402"/>
      <c r="G10" s="155" t="str">
        <f>'PLANILHA GERAL'!H137</f>
        <v xml:space="preserve">m³ </v>
      </c>
    </row>
    <row r="11" spans="1:14" s="234" customFormat="1" ht="12.75" customHeight="1" thickTop="1">
      <c r="A11" s="2363"/>
      <c r="B11" s="2364"/>
      <c r="C11" s="2364"/>
      <c r="D11" s="2364"/>
      <c r="E11" s="2364"/>
      <c r="F11" s="2364"/>
      <c r="G11" s="2365"/>
    </row>
    <row r="12" spans="1:14" s="171" customFormat="1" ht="20.100000000000001" customHeight="1">
      <c r="A12" s="241" t="s">
        <v>35</v>
      </c>
      <c r="B12" s="242" t="s">
        <v>263</v>
      </c>
      <c r="C12" s="243" t="s">
        <v>699</v>
      </c>
      <c r="D12" s="242" t="s">
        <v>37</v>
      </c>
      <c r="E12" s="243" t="s">
        <v>151</v>
      </c>
      <c r="F12" s="244" t="s">
        <v>38</v>
      </c>
      <c r="G12" s="245" t="s">
        <v>703</v>
      </c>
    </row>
    <row r="13" spans="1:14" s="234" customFormat="1" ht="20.100000000000001" customHeight="1">
      <c r="A13" s="2366" t="s">
        <v>34</v>
      </c>
      <c r="B13" s="2367"/>
      <c r="C13" s="2367"/>
      <c r="D13" s="2367"/>
      <c r="E13" s="2367"/>
      <c r="F13" s="2367"/>
      <c r="G13" s="2368"/>
    </row>
    <row r="14" spans="1:14" s="234" customFormat="1" ht="20.100000000000001" customHeight="1">
      <c r="A14" s="553">
        <v>1</v>
      </c>
      <c r="B14" s="238" t="s">
        <v>42</v>
      </c>
      <c r="C14" s="554" t="s">
        <v>163</v>
      </c>
      <c r="D14" s="462" t="s">
        <v>229</v>
      </c>
      <c r="E14" s="575">
        <v>5.7500000000000002E-2</v>
      </c>
      <c r="F14" s="555">
        <f>'CPU - 4'!F14</f>
        <v>19.940000000000001</v>
      </c>
      <c r="G14" s="556">
        <f>E14*F14</f>
        <v>1.1499999999999999</v>
      </c>
      <c r="H14" s="576"/>
      <c r="I14" s="576"/>
      <c r="J14" s="576"/>
      <c r="K14" s="576"/>
      <c r="L14" s="576"/>
      <c r="M14" s="576"/>
      <c r="N14" s="576"/>
    </row>
    <row r="15" spans="1:14" s="234" customFormat="1" ht="20.100000000000001" customHeight="1">
      <c r="A15" s="2369" t="s">
        <v>563</v>
      </c>
      <c r="B15" s="2370"/>
      <c r="C15" s="2370"/>
      <c r="D15" s="2370"/>
      <c r="E15" s="2370"/>
      <c r="F15" s="2370"/>
      <c r="G15" s="557">
        <f>SUM(G14:G14)</f>
        <v>1.1499999999999999</v>
      </c>
    </row>
    <row r="16" spans="1:14" s="234" customFormat="1" ht="20.100000000000001" customHeight="1">
      <c r="A16" s="2371" t="s">
        <v>44</v>
      </c>
      <c r="B16" s="2372"/>
      <c r="C16" s="2372"/>
      <c r="D16" s="2372"/>
      <c r="E16" s="2372"/>
      <c r="F16" s="2372"/>
      <c r="G16" s="2373"/>
    </row>
    <row r="17" spans="1:7" s="234" customFormat="1" ht="27.75" customHeight="1">
      <c r="A17" s="553">
        <v>1</v>
      </c>
      <c r="B17" s="1431" t="s">
        <v>265</v>
      </c>
      <c r="C17" s="559" t="s">
        <v>266</v>
      </c>
      <c r="D17" s="560" t="s">
        <v>174</v>
      </c>
      <c r="E17" s="575" t="s">
        <v>1752</v>
      </c>
      <c r="F17" s="562">
        <v>316.20999999999998</v>
      </c>
      <c r="G17" s="556">
        <f t="shared" ref="G17:G28" si="0">E17*F17</f>
        <v>1.33</v>
      </c>
    </row>
    <row r="18" spans="1:7" s="234" customFormat="1" ht="27.75" customHeight="1">
      <c r="A18" s="553">
        <v>2</v>
      </c>
      <c r="B18" s="1431" t="s">
        <v>267</v>
      </c>
      <c r="C18" s="559" t="s">
        <v>268</v>
      </c>
      <c r="D18" s="560" t="s">
        <v>176</v>
      </c>
      <c r="E18" s="575" t="s">
        <v>1753</v>
      </c>
      <c r="F18" s="562">
        <v>68.77</v>
      </c>
      <c r="G18" s="556">
        <f t="shared" si="0"/>
        <v>3.14</v>
      </c>
    </row>
    <row r="19" spans="1:7" s="234" customFormat="1" ht="27.75" customHeight="1">
      <c r="A19" s="553">
        <v>3</v>
      </c>
      <c r="B19" s="1431" t="s">
        <v>349</v>
      </c>
      <c r="C19" s="559" t="s">
        <v>1734</v>
      </c>
      <c r="D19" s="560" t="s">
        <v>174</v>
      </c>
      <c r="E19" s="575" t="s">
        <v>1754</v>
      </c>
      <c r="F19" s="562" t="s">
        <v>1741</v>
      </c>
      <c r="G19" s="556">
        <f t="shared" si="0"/>
        <v>0.03</v>
      </c>
    </row>
    <row r="20" spans="1:7" s="234" customFormat="1" ht="27.75" customHeight="1">
      <c r="A20" s="553">
        <v>4</v>
      </c>
      <c r="B20" s="1431" t="s">
        <v>350</v>
      </c>
      <c r="C20" s="559" t="s">
        <v>1735</v>
      </c>
      <c r="D20" s="560" t="s">
        <v>176</v>
      </c>
      <c r="E20" s="575" t="s">
        <v>1755</v>
      </c>
      <c r="F20" s="562" t="s">
        <v>1743</v>
      </c>
      <c r="G20" s="556">
        <f t="shared" si="0"/>
        <v>0.14000000000000001</v>
      </c>
    </row>
    <row r="21" spans="1:7" s="234" customFormat="1" ht="27.75" customHeight="1">
      <c r="A21" s="553">
        <v>5</v>
      </c>
      <c r="B21" s="1431" t="s">
        <v>269</v>
      </c>
      <c r="C21" s="559" t="s">
        <v>270</v>
      </c>
      <c r="D21" s="560" t="s">
        <v>174</v>
      </c>
      <c r="E21" s="575" t="s">
        <v>1756</v>
      </c>
      <c r="F21" s="562">
        <v>269.61</v>
      </c>
      <c r="G21" s="556">
        <f t="shared" si="0"/>
        <v>1.38</v>
      </c>
    </row>
    <row r="22" spans="1:7" s="234" customFormat="1" ht="27.75" customHeight="1">
      <c r="A22" s="553">
        <v>6</v>
      </c>
      <c r="B22" s="1431" t="s">
        <v>271</v>
      </c>
      <c r="C22" s="559" t="s">
        <v>272</v>
      </c>
      <c r="D22" s="560" t="s">
        <v>176</v>
      </c>
      <c r="E22" s="575" t="s">
        <v>1757</v>
      </c>
      <c r="F22" s="562">
        <v>100.24</v>
      </c>
      <c r="G22" s="556">
        <f t="shared" si="0"/>
        <v>4.49</v>
      </c>
    </row>
    <row r="23" spans="1:7" s="234" customFormat="1" ht="27.75" customHeight="1">
      <c r="A23" s="553">
        <v>7</v>
      </c>
      <c r="B23" s="1431" t="s">
        <v>1748</v>
      </c>
      <c r="C23" s="559" t="s">
        <v>1749</v>
      </c>
      <c r="D23" s="560" t="s">
        <v>174</v>
      </c>
      <c r="E23" s="575" t="s">
        <v>1758</v>
      </c>
      <c r="F23" s="562">
        <v>163.4</v>
      </c>
      <c r="G23" s="556">
        <f t="shared" si="0"/>
        <v>2.39</v>
      </c>
    </row>
    <row r="24" spans="1:7" s="234" customFormat="1" ht="27.75" customHeight="1">
      <c r="A24" s="553">
        <v>8</v>
      </c>
      <c r="B24" s="1431" t="s">
        <v>351</v>
      </c>
      <c r="C24" s="559" t="s">
        <v>256</v>
      </c>
      <c r="D24" s="560" t="s">
        <v>174</v>
      </c>
      <c r="E24" s="575" t="s">
        <v>1754</v>
      </c>
      <c r="F24" s="562">
        <v>124.44</v>
      </c>
      <c r="G24" s="556">
        <f t="shared" si="0"/>
        <v>0.77</v>
      </c>
    </row>
    <row r="25" spans="1:7" s="234" customFormat="1" ht="27.75" customHeight="1">
      <c r="A25" s="553">
        <v>9</v>
      </c>
      <c r="B25" s="1431" t="s">
        <v>352</v>
      </c>
      <c r="C25" s="559" t="s">
        <v>257</v>
      </c>
      <c r="D25" s="560" t="s">
        <v>176</v>
      </c>
      <c r="E25" s="575" t="s">
        <v>1755</v>
      </c>
      <c r="F25" s="562">
        <v>41.3</v>
      </c>
      <c r="G25" s="556">
        <f t="shared" si="0"/>
        <v>1.8</v>
      </c>
    </row>
    <row r="26" spans="1:7" s="234" customFormat="1" ht="27.75" customHeight="1">
      <c r="A26" s="553">
        <v>10</v>
      </c>
      <c r="B26" s="1431" t="s">
        <v>1750</v>
      </c>
      <c r="C26" s="559" t="s">
        <v>1751</v>
      </c>
      <c r="D26" s="560" t="s">
        <v>176</v>
      </c>
      <c r="E26" s="575" t="s">
        <v>1759</v>
      </c>
      <c r="F26" s="562">
        <v>64.69</v>
      </c>
      <c r="G26" s="556">
        <f t="shared" si="0"/>
        <v>2.2799999999999998</v>
      </c>
    </row>
    <row r="27" spans="1:7" s="234" customFormat="1" ht="27.75" customHeight="1">
      <c r="A27" s="553">
        <v>11</v>
      </c>
      <c r="B27" s="1431" t="s">
        <v>273</v>
      </c>
      <c r="C27" s="559" t="s">
        <v>1744</v>
      </c>
      <c r="D27" s="560" t="s">
        <v>174</v>
      </c>
      <c r="E27" s="575" t="s">
        <v>1760</v>
      </c>
      <c r="F27" s="562">
        <v>218.71</v>
      </c>
      <c r="G27" s="556">
        <f t="shared" si="0"/>
        <v>0.83</v>
      </c>
    </row>
    <row r="28" spans="1:7" s="234" customFormat="1" ht="27.75" customHeight="1">
      <c r="A28" s="553">
        <v>12</v>
      </c>
      <c r="B28" s="1431" t="s">
        <v>274</v>
      </c>
      <c r="C28" s="559" t="s">
        <v>1745</v>
      </c>
      <c r="D28" s="560" t="s">
        <v>176</v>
      </c>
      <c r="E28" s="575" t="s">
        <v>1761</v>
      </c>
      <c r="F28" s="562">
        <v>89.06</v>
      </c>
      <c r="G28" s="556">
        <f t="shared" si="0"/>
        <v>4.1100000000000003</v>
      </c>
    </row>
    <row r="29" spans="1:7" s="234" customFormat="1" ht="20.100000000000001" customHeight="1">
      <c r="A29" s="2369" t="s">
        <v>564</v>
      </c>
      <c r="B29" s="2370"/>
      <c r="C29" s="2370"/>
      <c r="D29" s="2370"/>
      <c r="E29" s="2370"/>
      <c r="F29" s="2370"/>
      <c r="G29" s="557">
        <f>SUM(G17:G28)</f>
        <v>22.69</v>
      </c>
    </row>
    <row r="30" spans="1:7" s="234" customFormat="1" ht="20.100000000000001" customHeight="1">
      <c r="A30" s="2390" t="s">
        <v>46</v>
      </c>
      <c r="B30" s="2391"/>
      <c r="C30" s="2391"/>
      <c r="D30" s="2391"/>
      <c r="E30" s="2391"/>
      <c r="F30" s="2391"/>
      <c r="G30" s="2392"/>
    </row>
    <row r="31" spans="1:7" s="234" customFormat="1" ht="20.100000000000001" customHeight="1">
      <c r="A31" s="553">
        <v>1</v>
      </c>
      <c r="B31" s="1431">
        <v>6079</v>
      </c>
      <c r="C31" s="563" t="s">
        <v>506</v>
      </c>
      <c r="D31" s="560" t="s">
        <v>512</v>
      </c>
      <c r="E31" s="562">
        <v>1</v>
      </c>
      <c r="F31" s="562">
        <v>37.35</v>
      </c>
      <c r="G31" s="556">
        <f>E31*F31</f>
        <v>37.35</v>
      </c>
    </row>
    <row r="32" spans="1:7" s="234" customFormat="1" ht="20.100000000000001" customHeight="1">
      <c r="A32" s="2369" t="s">
        <v>565</v>
      </c>
      <c r="B32" s="2370"/>
      <c r="C32" s="2370"/>
      <c r="D32" s="2370"/>
      <c r="E32" s="2370"/>
      <c r="F32" s="2370"/>
      <c r="G32" s="557">
        <f>SUM(G31:G31)</f>
        <v>37.35</v>
      </c>
    </row>
    <row r="33" spans="1:7" s="171" customFormat="1" ht="20.100000000000001" customHeight="1">
      <c r="A33" s="2393" t="s">
        <v>48</v>
      </c>
      <c r="B33" s="2394"/>
      <c r="C33" s="2394"/>
      <c r="D33" s="2394"/>
      <c r="E33" s="2394"/>
      <c r="F33" s="2394"/>
      <c r="G33" s="2395"/>
    </row>
    <row r="34" spans="1:7" s="171" customFormat="1" ht="20.100000000000001" customHeight="1">
      <c r="A34" s="156" t="s">
        <v>35</v>
      </c>
      <c r="B34" s="157"/>
      <c r="C34" s="157" t="s">
        <v>49</v>
      </c>
      <c r="D34" s="2396" t="s">
        <v>704</v>
      </c>
      <c r="E34" s="2397"/>
      <c r="F34" s="2397"/>
      <c r="G34" s="2398"/>
    </row>
    <row r="35" spans="1:7" s="171" customFormat="1" ht="20.100000000000001" customHeight="1">
      <c r="A35" s="156" t="s">
        <v>50</v>
      </c>
      <c r="B35" s="157"/>
      <c r="C35" s="157" t="s">
        <v>51</v>
      </c>
      <c r="D35" s="2383" t="s">
        <v>52</v>
      </c>
      <c r="E35" s="2383"/>
      <c r="F35" s="2383"/>
      <c r="G35" s="158">
        <f>G15</f>
        <v>1.1499999999999999</v>
      </c>
    </row>
    <row r="36" spans="1:7" s="171" customFormat="1" ht="20.100000000000001" customHeight="1">
      <c r="A36" s="156" t="s">
        <v>53</v>
      </c>
      <c r="B36" s="157"/>
      <c r="C36" s="157" t="s">
        <v>54</v>
      </c>
      <c r="D36" s="2383" t="s">
        <v>55</v>
      </c>
      <c r="E36" s="2383"/>
      <c r="F36" s="2383"/>
      <c r="G36" s="158">
        <f>G29</f>
        <v>22.69</v>
      </c>
    </row>
    <row r="37" spans="1:7" s="171" customFormat="1" ht="20.100000000000001" customHeight="1">
      <c r="A37" s="156" t="s">
        <v>14</v>
      </c>
      <c r="B37" s="157"/>
      <c r="C37" s="157" t="s">
        <v>56</v>
      </c>
      <c r="D37" s="2383" t="s">
        <v>57</v>
      </c>
      <c r="E37" s="2383"/>
      <c r="F37" s="2383"/>
      <c r="G37" s="158">
        <f>G32</f>
        <v>37.35</v>
      </c>
    </row>
    <row r="38" spans="1:7" s="171" customFormat="1" ht="20.100000000000001" customHeight="1">
      <c r="A38" s="156" t="s">
        <v>7</v>
      </c>
      <c r="B38" s="157"/>
      <c r="C38" s="565" t="s">
        <v>58</v>
      </c>
      <c r="D38" s="2384" t="s">
        <v>59</v>
      </c>
      <c r="E38" s="2384"/>
      <c r="F38" s="2384"/>
      <c r="G38" s="566">
        <f>G35+G36+G37</f>
        <v>61.19</v>
      </c>
    </row>
    <row r="39" spans="1:7" s="171" customFormat="1" ht="20.100000000000001" customHeight="1">
      <c r="A39" s="156"/>
      <c r="B39" s="157"/>
      <c r="C39" s="565"/>
      <c r="D39" s="2385" t="s">
        <v>198</v>
      </c>
      <c r="E39" s="2386"/>
      <c r="F39" s="567">
        <v>0.27460000000000001</v>
      </c>
      <c r="G39" s="159">
        <f>G38*F39</f>
        <v>16.8</v>
      </c>
    </row>
    <row r="40" spans="1:7" s="171" customFormat="1" ht="20.100000000000001" customHeight="1" thickBot="1">
      <c r="A40" s="2387" t="s">
        <v>61</v>
      </c>
      <c r="B40" s="2388"/>
      <c r="C40" s="2388"/>
      <c r="D40" s="2388"/>
      <c r="E40" s="2388"/>
      <c r="F40" s="2389"/>
      <c r="G40" s="160">
        <f>G38+G39</f>
        <v>77.989999999999995</v>
      </c>
    </row>
    <row r="41" spans="1:7" s="234" customFormat="1" ht="20.100000000000001" customHeight="1">
      <c r="A41" s="568"/>
      <c r="B41" s="569"/>
      <c r="C41" s="569"/>
      <c r="D41" s="570"/>
      <c r="E41" s="569"/>
      <c r="F41" s="569"/>
      <c r="G41" s="571"/>
    </row>
  </sheetData>
  <mergeCells count="23">
    <mergeCell ref="D36:F36"/>
    <mergeCell ref="D37:F37"/>
    <mergeCell ref="D38:F38"/>
    <mergeCell ref="D39:E39"/>
    <mergeCell ref="A40:F40"/>
    <mergeCell ref="D35:F35"/>
    <mergeCell ref="C9:F9"/>
    <mergeCell ref="C10:F10"/>
    <mergeCell ref="A11:G11"/>
    <mergeCell ref="A13:G13"/>
    <mergeCell ref="A15:F15"/>
    <mergeCell ref="A16:G16"/>
    <mergeCell ref="A29:F29"/>
    <mergeCell ref="A30:G30"/>
    <mergeCell ref="A32:F32"/>
    <mergeCell ref="A33:G33"/>
    <mergeCell ref="D34:G34"/>
    <mergeCell ref="B8:G8"/>
    <mergeCell ref="B1:G1"/>
    <mergeCell ref="A3:G3"/>
    <mergeCell ref="A4:G4"/>
    <mergeCell ref="A5:G5"/>
    <mergeCell ref="B7:G7"/>
  </mergeCells>
  <printOptions horizontalCentered="1"/>
  <pageMargins left="0.51181102362204722" right="0.51181102362204722" top="0.78740157480314965" bottom="0.78740157480314965"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S476"/>
  <sheetViews>
    <sheetView view="pageBreakPreview" topLeftCell="B1" zoomScale="25" zoomScaleNormal="25" zoomScaleSheetLayoutView="25" workbookViewId="0">
      <selection activeCell="I66" sqref="I66"/>
    </sheetView>
  </sheetViews>
  <sheetFormatPr defaultColWidth="9.28515625" defaultRowHeight="30.75"/>
  <cols>
    <col min="1" max="1" width="22.7109375" style="366" customWidth="1"/>
    <col min="2" max="2" width="124.28515625" style="378" bestFit="1" customWidth="1"/>
    <col min="3" max="3" width="41.28515625" style="378" bestFit="1" customWidth="1"/>
    <col min="4" max="4" width="30.7109375" style="378" customWidth="1"/>
    <col min="5" max="14" width="45.7109375" style="378" customWidth="1"/>
    <col min="15" max="18" width="35.7109375" style="378" customWidth="1"/>
    <col min="19" max="20" width="45.7109375" style="378" customWidth="1"/>
    <col min="21" max="23" width="35.7109375" style="378" customWidth="1"/>
    <col min="24" max="24" width="35.7109375" style="378" hidden="1" customWidth="1"/>
    <col min="25" max="25" width="68.42578125" style="378" bestFit="1" customWidth="1"/>
    <col min="26" max="26" width="68.28515625" style="378" customWidth="1"/>
    <col min="27" max="27" width="9.28515625" style="366"/>
    <col min="28" max="28" width="15.7109375" style="366" customWidth="1"/>
    <col min="29" max="29" width="25.7109375" style="366" bestFit="1" customWidth="1"/>
    <col min="30" max="30" width="29.5703125" style="366" bestFit="1" customWidth="1"/>
    <col min="31" max="31" width="25.7109375" style="366" bestFit="1" customWidth="1"/>
    <col min="32" max="32" width="28.7109375" style="366" customWidth="1"/>
    <col min="33" max="33" width="29.5703125" style="366" bestFit="1" customWidth="1"/>
    <col min="34" max="34" width="25.7109375" style="366" bestFit="1" customWidth="1"/>
    <col min="35" max="35" width="25.7109375" style="366" customWidth="1"/>
    <col min="36" max="36" width="29.5703125" style="366" bestFit="1" customWidth="1"/>
    <col min="37" max="37" width="33.7109375" style="366" bestFit="1" customWidth="1"/>
    <col min="38" max="38" width="29.7109375" style="366" bestFit="1" customWidth="1"/>
    <col min="39" max="39" width="25.7109375" style="366" bestFit="1" customWidth="1"/>
    <col min="40" max="40" width="29.5703125" style="366" bestFit="1" customWidth="1"/>
    <col min="41" max="42" width="29.7109375" style="366" bestFit="1" customWidth="1"/>
    <col min="43" max="44" width="25.7109375" style="366" bestFit="1" customWidth="1"/>
    <col min="45" max="45" width="52.42578125" style="366" bestFit="1" customWidth="1"/>
    <col min="46" max="16384" width="9.28515625" style="366"/>
  </cols>
  <sheetData>
    <row r="1" spans="1:44" ht="40.15" customHeight="1">
      <c r="A1" s="518"/>
      <c r="B1" s="519"/>
      <c r="C1" s="519"/>
      <c r="D1" s="519"/>
      <c r="E1" s="519"/>
      <c r="F1" s="519"/>
      <c r="G1" s="519"/>
      <c r="H1" s="519"/>
      <c r="I1" s="519"/>
      <c r="J1" s="519"/>
      <c r="K1" s="519"/>
      <c r="L1" s="519"/>
      <c r="M1" s="519"/>
      <c r="N1" s="519"/>
      <c r="O1" s="519"/>
      <c r="P1" s="519"/>
      <c r="Q1" s="519"/>
      <c r="R1" s="519"/>
      <c r="S1" s="519"/>
      <c r="T1" s="519"/>
      <c r="U1" s="519"/>
      <c r="V1" s="519"/>
      <c r="W1" s="519"/>
      <c r="X1" s="519"/>
      <c r="Y1" s="1647"/>
      <c r="Z1" s="1648"/>
    </row>
    <row r="2" spans="1:44" ht="40.15" customHeight="1">
      <c r="A2" s="1649"/>
      <c r="B2" s="1650"/>
      <c r="C2" s="1650"/>
      <c r="D2" s="1650"/>
      <c r="E2" s="1650"/>
      <c r="F2" s="1650"/>
      <c r="G2" s="1650"/>
      <c r="H2" s="1650"/>
      <c r="I2" s="1650"/>
      <c r="J2" s="1650"/>
      <c r="K2" s="1650"/>
      <c r="L2" s="1650"/>
      <c r="M2" s="1650"/>
      <c r="N2" s="1650"/>
      <c r="O2" s="1650"/>
      <c r="P2" s="1650"/>
      <c r="Q2" s="1650"/>
      <c r="R2" s="1650"/>
      <c r="S2" s="1650"/>
      <c r="T2" s="1650"/>
      <c r="U2" s="1650"/>
      <c r="V2" s="1650"/>
      <c r="W2" s="1650"/>
      <c r="X2" s="1650"/>
      <c r="Y2" s="1650"/>
      <c r="Z2" s="1651"/>
    </row>
    <row r="3" spans="1:44" ht="40.15" customHeight="1">
      <c r="A3" s="1652"/>
      <c r="B3" s="1653"/>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4"/>
    </row>
    <row r="4" spans="1:44" ht="40.15" customHeight="1">
      <c r="A4" s="1652"/>
      <c r="B4" s="1653"/>
      <c r="C4" s="1653"/>
      <c r="D4" s="1653"/>
      <c r="E4" s="1653"/>
      <c r="F4" s="1653"/>
      <c r="G4" s="1653"/>
      <c r="H4" s="1653"/>
      <c r="I4" s="1653"/>
      <c r="J4" s="1653"/>
      <c r="K4" s="1653"/>
      <c r="L4" s="1653"/>
      <c r="M4" s="1653"/>
      <c r="N4" s="1653"/>
      <c r="O4" s="1653"/>
      <c r="P4" s="1653"/>
      <c r="Q4" s="1653"/>
      <c r="R4" s="1653"/>
      <c r="S4" s="1653"/>
      <c r="T4" s="1653"/>
      <c r="U4" s="1653"/>
      <c r="V4" s="1653"/>
      <c r="W4" s="1653"/>
      <c r="X4" s="1653"/>
      <c r="Y4" s="1653"/>
      <c r="Z4" s="1654"/>
    </row>
    <row r="5" spans="1:44" ht="40.15" customHeight="1">
      <c r="A5" s="1655" t="s">
        <v>18</v>
      </c>
      <c r="B5" s="1656"/>
      <c r="C5" s="1656"/>
      <c r="D5" s="1656"/>
      <c r="E5" s="1656"/>
      <c r="F5" s="1656"/>
      <c r="G5" s="1656"/>
      <c r="H5" s="1656"/>
      <c r="I5" s="1656"/>
      <c r="J5" s="1656"/>
      <c r="K5" s="1656"/>
      <c r="L5" s="1656"/>
      <c r="M5" s="1656"/>
      <c r="N5" s="1656"/>
      <c r="O5" s="1656"/>
      <c r="P5" s="1656"/>
      <c r="Q5" s="1656"/>
      <c r="R5" s="1656"/>
      <c r="S5" s="1656"/>
      <c r="T5" s="1656"/>
      <c r="U5" s="1656"/>
      <c r="V5" s="1656"/>
      <c r="W5" s="1656"/>
      <c r="X5" s="1656"/>
      <c r="Y5" s="1656"/>
      <c r="Z5" s="1657"/>
    </row>
    <row r="6" spans="1:44" ht="40.15" customHeight="1">
      <c r="A6" s="1658" t="s">
        <v>187</v>
      </c>
      <c r="B6" s="1659"/>
      <c r="C6" s="1659"/>
      <c r="D6" s="1659"/>
      <c r="E6" s="1659"/>
      <c r="F6" s="1659"/>
      <c r="G6" s="1659"/>
      <c r="H6" s="1659"/>
      <c r="I6" s="1659"/>
      <c r="J6" s="1659"/>
      <c r="K6" s="1659"/>
      <c r="L6" s="1659"/>
      <c r="M6" s="1659"/>
      <c r="N6" s="1659"/>
      <c r="O6" s="1659"/>
      <c r="P6" s="1659"/>
      <c r="Q6" s="1659"/>
      <c r="R6" s="1659"/>
      <c r="S6" s="1659"/>
      <c r="T6" s="1659"/>
      <c r="U6" s="1659"/>
      <c r="V6" s="1659"/>
      <c r="W6" s="1659"/>
      <c r="X6" s="1659"/>
      <c r="Y6" s="1659"/>
      <c r="Z6" s="1660"/>
    </row>
    <row r="7" spans="1:44" ht="40.15" customHeight="1">
      <c r="A7" s="1658" t="s">
        <v>17</v>
      </c>
      <c r="B7" s="1659"/>
      <c r="C7" s="1659"/>
      <c r="D7" s="1659"/>
      <c r="E7" s="1659"/>
      <c r="F7" s="1659"/>
      <c r="G7" s="1659"/>
      <c r="H7" s="1659"/>
      <c r="I7" s="1659"/>
      <c r="J7" s="1659"/>
      <c r="K7" s="1659"/>
      <c r="L7" s="1659"/>
      <c r="M7" s="1659"/>
      <c r="N7" s="1659"/>
      <c r="O7" s="1659"/>
      <c r="P7" s="1659"/>
      <c r="Q7" s="1659"/>
      <c r="R7" s="1659"/>
      <c r="S7" s="1659"/>
      <c r="T7" s="1659"/>
      <c r="U7" s="1659"/>
      <c r="V7" s="1659"/>
      <c r="W7" s="1659"/>
      <c r="X7" s="1659"/>
      <c r="Y7" s="1659"/>
      <c r="Z7" s="1660"/>
    </row>
    <row r="8" spans="1:44" ht="55.15" customHeight="1">
      <c r="A8" s="1634"/>
      <c r="B8" s="1635"/>
      <c r="C8" s="1635"/>
      <c r="D8" s="1635"/>
      <c r="E8" s="1635"/>
      <c r="F8" s="1635"/>
      <c r="G8" s="1635"/>
      <c r="H8" s="1635"/>
      <c r="I8" s="1635"/>
      <c r="J8" s="1635"/>
      <c r="K8" s="1635"/>
      <c r="L8" s="1635"/>
      <c r="M8" s="1635"/>
      <c r="N8" s="1635"/>
      <c r="O8" s="1635"/>
      <c r="P8" s="1635"/>
      <c r="Q8" s="1635"/>
      <c r="R8" s="1635"/>
      <c r="S8" s="1635"/>
      <c r="T8" s="1635"/>
      <c r="U8" s="1635"/>
      <c r="V8" s="1635"/>
      <c r="W8" s="1635"/>
      <c r="X8" s="1635"/>
      <c r="Y8" s="1635"/>
      <c r="Z8" s="1636"/>
    </row>
    <row r="9" spans="1:44" ht="55.15" customHeight="1">
      <c r="A9" s="427"/>
      <c r="B9" s="423" t="s">
        <v>567</v>
      </c>
      <c r="C9" s="1661" t="str">
        <f>'PLANILHA GERAL'!D9</f>
        <v>OBRAS DE PREVENÇÕES DE ALAGAMENTOS E CHEIAS, INFRAESTRUTURA URBANA E CONSTRUÇÕES DIVERSAS NO MUNICÍPIO DE ANANINDEUA/PA</v>
      </c>
      <c r="D9" s="1662"/>
      <c r="E9" s="1662"/>
      <c r="F9" s="1662"/>
      <c r="G9" s="1662"/>
      <c r="H9" s="1662"/>
      <c r="I9" s="1662"/>
      <c r="J9" s="1662"/>
      <c r="K9" s="1662"/>
      <c r="L9" s="1662"/>
      <c r="M9" s="1662"/>
      <c r="N9" s="1662"/>
      <c r="O9" s="1662"/>
      <c r="P9" s="1662"/>
      <c r="Q9" s="1662"/>
      <c r="R9" s="1662"/>
      <c r="S9" s="1662"/>
      <c r="T9" s="1662"/>
      <c r="U9" s="1662"/>
      <c r="V9" s="1662"/>
      <c r="W9" s="1662"/>
      <c r="X9" s="1662"/>
      <c r="Y9" s="1662"/>
      <c r="Z9" s="1663"/>
    </row>
    <row r="10" spans="1:44" ht="40.15" customHeight="1" thickBot="1">
      <c r="A10" s="367"/>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1664"/>
      <c r="Z10" s="1665"/>
    </row>
    <row r="11" spans="1:44" s="369" customFormat="1" ht="66.75" customHeight="1" thickTop="1" thickBot="1">
      <c r="A11" s="1666" t="s">
        <v>348</v>
      </c>
      <c r="B11" s="1667"/>
      <c r="C11" s="1667"/>
      <c r="D11" s="1667"/>
      <c r="E11" s="1667"/>
      <c r="F11" s="1667"/>
      <c r="G11" s="1667"/>
      <c r="H11" s="1667"/>
      <c r="I11" s="1667"/>
      <c r="J11" s="1667"/>
      <c r="K11" s="1667"/>
      <c r="L11" s="1667"/>
      <c r="M11" s="1667"/>
      <c r="N11" s="1667"/>
      <c r="O11" s="1667"/>
      <c r="P11" s="1667"/>
      <c r="Q11" s="1667"/>
      <c r="R11" s="1667"/>
      <c r="S11" s="1667"/>
      <c r="T11" s="1667"/>
      <c r="U11" s="1667"/>
      <c r="V11" s="1667"/>
      <c r="W11" s="1667"/>
      <c r="X11" s="1667"/>
      <c r="Y11" s="1667"/>
      <c r="Z11" s="1668"/>
    </row>
    <row r="12" spans="1:44" ht="39.75" customHeight="1" thickTop="1" thickBot="1">
      <c r="A12" s="1644"/>
      <c r="B12" s="1645"/>
      <c r="C12" s="1645"/>
      <c r="D12" s="1645"/>
      <c r="E12" s="1645"/>
      <c r="F12" s="1645"/>
      <c r="G12" s="1645"/>
      <c r="H12" s="1645"/>
      <c r="I12" s="1645"/>
      <c r="J12" s="1645"/>
      <c r="K12" s="1645"/>
      <c r="L12" s="1645"/>
      <c r="M12" s="1645"/>
      <c r="N12" s="1645"/>
      <c r="O12" s="1645"/>
      <c r="P12" s="1645"/>
      <c r="Q12" s="1645"/>
      <c r="R12" s="1645"/>
      <c r="S12" s="1645"/>
      <c r="T12" s="1645"/>
      <c r="U12" s="1645"/>
      <c r="V12" s="1645"/>
      <c r="W12" s="1645"/>
      <c r="X12" s="1645"/>
      <c r="Y12" s="1645"/>
      <c r="Z12" s="1646"/>
    </row>
    <row r="13" spans="1:44" ht="63.75" customHeight="1">
      <c r="A13" s="1683" t="s">
        <v>331</v>
      </c>
      <c r="B13" s="1684"/>
      <c r="C13" s="1687" t="s">
        <v>340</v>
      </c>
      <c r="D13" s="1690" t="s">
        <v>338</v>
      </c>
      <c r="E13" s="1693" t="s">
        <v>332</v>
      </c>
      <c r="F13" s="1694"/>
      <c r="G13" s="1694"/>
      <c r="H13" s="1694"/>
      <c r="I13" s="1694"/>
      <c r="J13" s="1694"/>
      <c r="K13" s="1694"/>
      <c r="L13" s="1694"/>
      <c r="M13" s="1695"/>
      <c r="N13" s="1509"/>
      <c r="O13" s="1669" t="s">
        <v>333</v>
      </c>
      <c r="P13" s="1669"/>
      <c r="Q13" s="1669"/>
      <c r="R13" s="1669"/>
      <c r="S13" s="1669"/>
      <c r="T13" s="1669"/>
      <c r="U13" s="1669"/>
      <c r="V13" s="1669"/>
      <c r="W13" s="1669"/>
      <c r="X13" s="1669"/>
      <c r="Y13" s="1670"/>
      <c r="Z13" s="1671"/>
    </row>
    <row r="14" spans="1:44" ht="63.75" customHeight="1">
      <c r="A14" s="1685"/>
      <c r="B14" s="1686"/>
      <c r="C14" s="1688"/>
      <c r="D14" s="1691"/>
      <c r="E14" s="1696"/>
      <c r="F14" s="1697"/>
      <c r="G14" s="1697"/>
      <c r="H14" s="1697"/>
      <c r="I14" s="1697"/>
      <c r="J14" s="1697"/>
      <c r="K14" s="1697"/>
      <c r="L14" s="1697"/>
      <c r="M14" s="1698"/>
      <c r="N14" s="1512"/>
      <c r="O14" s="1672" t="s">
        <v>1831</v>
      </c>
      <c r="P14" s="1673"/>
      <c r="Q14" s="1673"/>
      <c r="R14" s="1673"/>
      <c r="S14" s="1673"/>
      <c r="T14" s="1674"/>
      <c r="U14" s="1675" t="s">
        <v>1830</v>
      </c>
      <c r="V14" s="1675"/>
      <c r="W14" s="1675"/>
      <c r="X14" s="1675"/>
      <c r="Y14" s="1672"/>
      <c r="Z14" s="1676"/>
    </row>
    <row r="15" spans="1:44" ht="114.75" customHeight="1">
      <c r="A15" s="1685"/>
      <c r="B15" s="1686"/>
      <c r="C15" s="1688"/>
      <c r="D15" s="1691"/>
      <c r="E15" s="1514" t="s">
        <v>345</v>
      </c>
      <c r="F15" s="1514" t="s">
        <v>439</v>
      </c>
      <c r="G15" s="1514" t="s">
        <v>678</v>
      </c>
      <c r="H15" s="1514" t="s">
        <v>625</v>
      </c>
      <c r="I15" s="1514" t="s">
        <v>626</v>
      </c>
      <c r="J15" s="1514" t="s">
        <v>679</v>
      </c>
      <c r="K15" s="1514" t="s">
        <v>680</v>
      </c>
      <c r="L15" s="1514" t="s">
        <v>628</v>
      </c>
      <c r="M15" s="1514" t="s">
        <v>629</v>
      </c>
      <c r="N15" s="1514" t="s">
        <v>630</v>
      </c>
      <c r="O15" s="1514" t="s">
        <v>337</v>
      </c>
      <c r="P15" s="1514" t="s">
        <v>1832</v>
      </c>
      <c r="Q15" s="1514" t="s">
        <v>1833</v>
      </c>
      <c r="R15" s="1514" t="s">
        <v>697</v>
      </c>
      <c r="S15" s="1514" t="s">
        <v>698</v>
      </c>
      <c r="T15" s="1514" t="s">
        <v>629</v>
      </c>
      <c r="U15" s="1514" t="s">
        <v>337</v>
      </c>
      <c r="V15" s="1514" t="s">
        <v>507</v>
      </c>
      <c r="W15" s="1514" t="s">
        <v>696</v>
      </c>
      <c r="X15" s="1514" t="s">
        <v>681</v>
      </c>
      <c r="Y15" s="1515" t="s">
        <v>698</v>
      </c>
      <c r="Z15" s="1516" t="s">
        <v>629</v>
      </c>
      <c r="AC15" s="370" t="s">
        <v>345</v>
      </c>
      <c r="AD15" s="370" t="s">
        <v>624</v>
      </c>
      <c r="AE15" s="370" t="s">
        <v>625</v>
      </c>
      <c r="AF15" s="370" t="s">
        <v>693</v>
      </c>
      <c r="AG15" s="370" t="s">
        <v>627</v>
      </c>
      <c r="AH15" s="370" t="s">
        <v>628</v>
      </c>
      <c r="AI15" s="370" t="s">
        <v>629</v>
      </c>
      <c r="AJ15" s="370" t="s">
        <v>630</v>
      </c>
      <c r="AK15" s="370" t="str">
        <f>P15</f>
        <v>EXECUÇÃO E COMPACTAÇÃO PEDREGULHO (m³)</v>
      </c>
      <c r="AL15" s="370" t="str">
        <f>R15</f>
        <v>ESCAVAÇÃO E CARGA (m³)</v>
      </c>
      <c r="AM15" s="370" t="str">
        <f>S15</f>
        <v>TRANSPORTE  (m³ x km) &lt;30KM</v>
      </c>
      <c r="AN15" s="370" t="str">
        <f>T15</f>
        <v>TRANSPORTE (m³ x km) &gt;30KM</v>
      </c>
      <c r="AO15" s="370" t="str">
        <f>V15</f>
        <v>EXECUÇÃO E COMPACTAÇÃO (m³)</v>
      </c>
      <c r="AP15" s="521" t="str">
        <f>W15</f>
        <v>ESCAVAÇÃO E CARGA (m³)  (m³)</v>
      </c>
      <c r="AQ15" s="521" t="str">
        <f>Y15</f>
        <v>TRANSPORTE  (m³ x km) &lt;30KM</v>
      </c>
      <c r="AR15" s="521" t="str">
        <f>Z15</f>
        <v>TRANSPORTE (m³ x km) &gt;30KM</v>
      </c>
    </row>
    <row r="16" spans="1:44" ht="38.25">
      <c r="A16" s="1510"/>
      <c r="B16" s="1511"/>
      <c r="C16" s="1688"/>
      <c r="D16" s="1691"/>
      <c r="E16" s="1517"/>
      <c r="F16" s="1517"/>
      <c r="G16" s="1517"/>
      <c r="H16" s="1517"/>
      <c r="I16" s="1517"/>
      <c r="J16" s="1517"/>
      <c r="K16" s="1517"/>
      <c r="L16" s="1517"/>
      <c r="M16" s="1517"/>
      <c r="N16" s="1517"/>
      <c r="O16" s="1517"/>
      <c r="P16" s="1517"/>
      <c r="Q16" s="1517"/>
      <c r="R16" s="1514"/>
      <c r="S16" s="1517"/>
      <c r="T16" s="1518">
        <v>7.4</v>
      </c>
      <c r="U16" s="1517"/>
      <c r="V16" s="1517"/>
      <c r="W16" s="1517"/>
      <c r="X16" s="1517"/>
      <c r="Y16" s="1519"/>
      <c r="Z16" s="1520"/>
      <c r="AC16" s="371"/>
      <c r="AD16" s="371"/>
      <c r="AE16" s="371"/>
      <c r="AF16" s="371"/>
      <c r="AG16" s="371"/>
      <c r="AH16" s="371"/>
      <c r="AI16" s="371"/>
      <c r="AJ16" s="371"/>
      <c r="AK16" s="371"/>
      <c r="AL16" s="371"/>
      <c r="AM16" s="371"/>
      <c r="AN16" s="371"/>
      <c r="AO16" s="371"/>
      <c r="AP16" s="371"/>
      <c r="AQ16" s="371"/>
      <c r="AR16" s="371"/>
    </row>
    <row r="17" spans="1:45" ht="63.75" customHeight="1">
      <c r="A17" s="1677" t="s">
        <v>6</v>
      </c>
      <c r="B17" s="1679" t="s">
        <v>336</v>
      </c>
      <c r="C17" s="1689"/>
      <c r="D17" s="1692"/>
      <c r="E17" s="1513"/>
      <c r="F17" s="1513"/>
      <c r="G17" s="1518">
        <v>5</v>
      </c>
      <c r="H17" s="1518">
        <v>9.8000000000000007</v>
      </c>
      <c r="I17" s="1518"/>
      <c r="J17" s="1518"/>
      <c r="K17" s="1518">
        <f>G17</f>
        <v>5</v>
      </c>
      <c r="L17" s="1518">
        <v>30</v>
      </c>
      <c r="M17" s="1518">
        <v>7.4</v>
      </c>
      <c r="N17" s="1518"/>
      <c r="O17" s="1513"/>
      <c r="P17" s="1518">
        <f>G17</f>
        <v>5</v>
      </c>
      <c r="Q17" s="1518">
        <v>1</v>
      </c>
      <c r="R17" s="1518"/>
      <c r="S17" s="1518">
        <v>30</v>
      </c>
      <c r="T17" s="1518">
        <f>181-S17</f>
        <v>151</v>
      </c>
      <c r="U17" s="1513"/>
      <c r="V17" s="1518">
        <v>6</v>
      </c>
      <c r="W17" s="1513"/>
      <c r="X17" s="1513"/>
      <c r="Y17" s="1521">
        <v>30</v>
      </c>
      <c r="Z17" s="1522">
        <v>7.4</v>
      </c>
    </row>
    <row r="18" spans="1:45" ht="102.75" customHeight="1" thickBot="1">
      <c r="A18" s="1678"/>
      <c r="B18" s="1680"/>
      <c r="C18" s="1523" t="s">
        <v>50</v>
      </c>
      <c r="D18" s="1524" t="s">
        <v>53</v>
      </c>
      <c r="E18" s="1525" t="s">
        <v>493</v>
      </c>
      <c r="F18" s="1525" t="s">
        <v>7</v>
      </c>
      <c r="G18" s="1525" t="s">
        <v>502</v>
      </c>
      <c r="H18" s="1525" t="s">
        <v>503</v>
      </c>
      <c r="I18" s="1525" t="s">
        <v>502</v>
      </c>
      <c r="J18" s="1525"/>
      <c r="K18" s="1525" t="s">
        <v>631</v>
      </c>
      <c r="L18" s="1525" t="s">
        <v>632</v>
      </c>
      <c r="M18" s="1525" t="s">
        <v>503</v>
      </c>
      <c r="N18" s="1525" t="s">
        <v>633</v>
      </c>
      <c r="O18" s="1525" t="s">
        <v>682</v>
      </c>
      <c r="P18" s="1525" t="s">
        <v>683</v>
      </c>
      <c r="Q18" s="1525"/>
      <c r="R18" s="1525" t="s">
        <v>684</v>
      </c>
      <c r="S18" s="1525" t="s">
        <v>685</v>
      </c>
      <c r="T18" s="1525" t="s">
        <v>505</v>
      </c>
      <c r="U18" s="1525" t="s">
        <v>686</v>
      </c>
      <c r="V18" s="1523" t="s">
        <v>687</v>
      </c>
      <c r="W18" s="1523" t="s">
        <v>688</v>
      </c>
      <c r="X18" s="1523" t="s">
        <v>689</v>
      </c>
      <c r="Y18" s="1526" t="s">
        <v>690</v>
      </c>
      <c r="Z18" s="1527" t="s">
        <v>535</v>
      </c>
      <c r="AC18" s="372"/>
      <c r="AD18" s="372"/>
      <c r="AE18" s="372"/>
      <c r="AF18" s="372"/>
      <c r="AG18" s="372"/>
      <c r="AH18" s="372"/>
      <c r="AI18" s="522"/>
      <c r="AJ18" s="522"/>
      <c r="AK18" s="523"/>
      <c r="AL18" s="523"/>
      <c r="AM18" s="372"/>
      <c r="AN18" s="372"/>
      <c r="AO18" s="372"/>
      <c r="AP18" s="372"/>
      <c r="AQ18" s="372"/>
      <c r="AR18" s="372"/>
      <c r="AS18" s="373"/>
    </row>
    <row r="19" spans="1:45" ht="73.5" customHeight="1" thickTop="1" thickBot="1">
      <c r="A19" s="374"/>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524"/>
      <c r="AB19" s="376"/>
      <c r="AC19" s="370"/>
      <c r="AD19" s="370"/>
      <c r="AE19" s="370"/>
      <c r="AF19" s="370"/>
      <c r="AG19" s="370"/>
      <c r="AH19" s="370"/>
      <c r="AI19" s="520"/>
      <c r="AJ19" s="520"/>
      <c r="AK19" s="525"/>
      <c r="AL19" s="525"/>
      <c r="AM19" s="370"/>
      <c r="AN19" s="370"/>
      <c r="AO19" s="370"/>
      <c r="AP19" s="370"/>
      <c r="AQ19" s="370"/>
      <c r="AR19" s="370"/>
      <c r="AS19" s="372" t="s">
        <v>324</v>
      </c>
    </row>
    <row r="20" spans="1:45" s="532" customFormat="1" ht="171" customHeight="1" thickTop="1" thickBot="1">
      <c r="A20" s="526">
        <f>DADOS!A12</f>
        <v>1</v>
      </c>
      <c r="B20" s="527" t="s">
        <v>1925</v>
      </c>
      <c r="C20" s="528">
        <f>3500*2.3</f>
        <v>8050</v>
      </c>
      <c r="D20" s="529">
        <v>7</v>
      </c>
      <c r="E20" s="529">
        <f t="shared" ref="E20:E21" si="0">C20*(D20+1)</f>
        <v>64400</v>
      </c>
      <c r="F20" s="529">
        <v>0.9</v>
      </c>
      <c r="G20" s="529">
        <f>C20*F20*G17</f>
        <v>36225</v>
      </c>
      <c r="H20" s="529">
        <f>G20*1.3*$H$17</f>
        <v>461506.5</v>
      </c>
      <c r="I20" s="529">
        <f>E20*J20</f>
        <v>45080</v>
      </c>
      <c r="J20" s="529">
        <f>IF(F20-(O20+U20)&lt;0,,F20-(O20+U20))*1.4</f>
        <v>0.7</v>
      </c>
      <c r="K20" s="529">
        <f>J20*C20*K17</f>
        <v>28175</v>
      </c>
      <c r="L20" s="529">
        <f>K20*1.3*$L$17</f>
        <v>1098825</v>
      </c>
      <c r="M20" s="529">
        <f>K20*1.3*$M$17</f>
        <v>271043.5</v>
      </c>
      <c r="N20" s="529">
        <f>K20</f>
        <v>28175</v>
      </c>
      <c r="O20" s="529">
        <v>0.2</v>
      </c>
      <c r="P20" s="529">
        <f>$C20*$O20*P17</f>
        <v>8050</v>
      </c>
      <c r="Q20" s="529">
        <f>$C20*$O20*Q17</f>
        <v>1610</v>
      </c>
      <c r="R20" s="529">
        <f>P20+Q20</f>
        <v>9660</v>
      </c>
      <c r="S20" s="529">
        <f>R20*1.3*$S$17</f>
        <v>376740</v>
      </c>
      <c r="T20" s="529">
        <f>P20*1.3*$T$17*70%+P20*1.3*$T$16*30%+Q20*1.3*T16</f>
        <v>1144871</v>
      </c>
      <c r="U20" s="529">
        <v>0.2</v>
      </c>
      <c r="V20" s="529">
        <f>C20*U20*V17</f>
        <v>9660</v>
      </c>
      <c r="W20" s="529">
        <f>V20</f>
        <v>9660</v>
      </c>
      <c r="X20" s="529">
        <v>0</v>
      </c>
      <c r="Y20" s="530">
        <f>V20*1.3*$Y$17</f>
        <v>376740</v>
      </c>
      <c r="Z20" s="531">
        <f>V20*1.3*$Z$17</f>
        <v>92929.2</v>
      </c>
      <c r="AB20" s="533">
        <f t="shared" ref="AB20:AB36" si="1">A20</f>
        <v>1</v>
      </c>
      <c r="AC20" s="534">
        <f>'PLANILHA GERAL'!$J$122</f>
        <v>6.35</v>
      </c>
      <c r="AD20" s="534">
        <f>'PLANILHA GERAL'!$J$123</f>
        <v>18.53</v>
      </c>
      <c r="AE20" s="534">
        <f>'PLANILHA GERAL'!$J$124</f>
        <v>3.7</v>
      </c>
      <c r="AF20" s="534">
        <f>'PLANILHA GERAL'!$J$125</f>
        <v>18.53</v>
      </c>
      <c r="AG20" s="534">
        <f>'PLANILHA GERAL'!$J$126</f>
        <v>47.61</v>
      </c>
      <c r="AH20" s="534">
        <f>'PLANILHA GERAL'!$J$127</f>
        <v>2.33</v>
      </c>
      <c r="AI20" s="535">
        <f>'PLANILHA GERAL'!$J$128</f>
        <v>1.22</v>
      </c>
      <c r="AJ20" s="535">
        <f>'PLANILHA GERAL'!$J$129</f>
        <v>14.52</v>
      </c>
      <c r="AK20" s="536">
        <f>'PLANILHA GERAL'!$J$132</f>
        <v>238.44</v>
      </c>
      <c r="AL20" s="536">
        <f>'PLANILHA GERAL'!$J$134</f>
        <v>18.53</v>
      </c>
      <c r="AM20" s="534">
        <f>'PLANILHA GERAL'!$J$135</f>
        <v>2.33</v>
      </c>
      <c r="AN20" s="534">
        <f>'PLANILHA GERAL'!$J$136</f>
        <v>1.22</v>
      </c>
      <c r="AO20" s="534">
        <f>'PLANILHA GERAL'!$J$137</f>
        <v>77.989999999999995</v>
      </c>
      <c r="AP20" s="534">
        <f>'PLANILHA GERAL'!$J$138</f>
        <v>18.53</v>
      </c>
      <c r="AQ20" s="534">
        <f>'PLANILHA GERAL'!$J$139</f>
        <v>2.33</v>
      </c>
      <c r="AR20" s="534">
        <f>'PLANILHA GERAL'!$J$140</f>
        <v>1.22</v>
      </c>
      <c r="AS20" s="534">
        <f>E20*AC20+G20*AD20+H20*AE20+I20*AF20+K20*AG20+L20*AH20+M20*AI20+N20*AJ20+P20*AK20+R20*AL20+S20*AM20+T20*AN20+V20*AO20+W20*AP20+Y20*AQ20+Z20*AR20</f>
        <v>14561093.41</v>
      </c>
    </row>
    <row r="21" spans="1:45" s="537" customFormat="1" ht="90" hidden="1" customHeight="1" thickBot="1">
      <c r="A21" s="526">
        <f>DADOS!A13</f>
        <v>2</v>
      </c>
      <c r="B21" s="527"/>
      <c r="C21" s="528"/>
      <c r="D21" s="529"/>
      <c r="E21" s="529">
        <f t="shared" si="0"/>
        <v>0</v>
      </c>
      <c r="F21" s="529">
        <v>0</v>
      </c>
      <c r="G21" s="529">
        <f t="shared" ref="G21:G36" si="2">E21*F21</f>
        <v>0</v>
      </c>
      <c r="H21" s="529">
        <f t="shared" ref="H21:H36" si="3">G21*1.3*$H$17</f>
        <v>0</v>
      </c>
      <c r="I21" s="529">
        <f>E21*J21</f>
        <v>0</v>
      </c>
      <c r="J21" s="529">
        <f t="shared" ref="J21:J36" si="4">IF(F21-(O21+U21)&lt;0,,F21-(O21+U21))</f>
        <v>0</v>
      </c>
      <c r="K21" s="529">
        <f t="shared" ref="K21:K36" si="5">J21*E21</f>
        <v>0</v>
      </c>
      <c r="L21" s="529">
        <f t="shared" ref="L21:L36" si="6">K21*1.3*$L$17</f>
        <v>0</v>
      </c>
      <c r="M21" s="529">
        <f>K21*1.3*$M$17</f>
        <v>0</v>
      </c>
      <c r="N21" s="529">
        <f t="shared" ref="N21:N36" si="7">K21</f>
        <v>0</v>
      </c>
      <c r="O21" s="529">
        <v>0.2</v>
      </c>
      <c r="P21" s="529">
        <f t="shared" ref="P21:P36" si="8">E21*O21</f>
        <v>0</v>
      </c>
      <c r="Q21" s="529"/>
      <c r="R21" s="529">
        <f t="shared" ref="R21:R36" si="9">P21</f>
        <v>0</v>
      </c>
      <c r="S21" s="529">
        <f t="shared" ref="S21:S36" si="10">P21*1.3*$S$17</f>
        <v>0</v>
      </c>
      <c r="T21" s="529">
        <f t="shared" ref="T21:T36" si="11">P21*1.3*$T$17</f>
        <v>0</v>
      </c>
      <c r="U21" s="529">
        <v>0.2</v>
      </c>
      <c r="V21" s="529">
        <f t="shared" ref="V21:V36" si="12">E21*U21</f>
        <v>0</v>
      </c>
      <c r="W21" s="529">
        <f t="shared" ref="W21:W36" si="13">V21</f>
        <v>0</v>
      </c>
      <c r="X21" s="529">
        <v>1</v>
      </c>
      <c r="Y21" s="530">
        <f t="shared" ref="Y21:Y36" si="14">V21*1.3*$Y$17</f>
        <v>0</v>
      </c>
      <c r="Z21" s="531">
        <f t="shared" ref="Z21:Z36" si="15">V21*1.3*$Z$17</f>
        <v>0</v>
      </c>
      <c r="AB21" s="533">
        <f t="shared" si="1"/>
        <v>2</v>
      </c>
      <c r="AC21" s="534">
        <f>'PLANILHA GERAL'!$J$122</f>
        <v>6.35</v>
      </c>
      <c r="AD21" s="534">
        <f>'PLANILHA GERAL'!$J$123</f>
        <v>18.53</v>
      </c>
      <c r="AE21" s="534">
        <f>'PLANILHA GERAL'!$J$124</f>
        <v>3.7</v>
      </c>
      <c r="AF21" s="534">
        <f>'PLANILHA GERAL'!$J$125</f>
        <v>18.53</v>
      </c>
      <c r="AG21" s="534">
        <f>'PLANILHA GERAL'!$J$126</f>
        <v>47.61</v>
      </c>
      <c r="AH21" s="534">
        <f>'PLANILHA GERAL'!$J$127</f>
        <v>2.33</v>
      </c>
      <c r="AI21" s="535">
        <f>'PLANILHA GERAL'!$J$128</f>
        <v>1.22</v>
      </c>
      <c r="AJ21" s="535">
        <f>'PLANILHA GERAL'!$J$129</f>
        <v>14.52</v>
      </c>
      <c r="AK21" s="536">
        <f>'PLANILHA GERAL'!$J$132</f>
        <v>238.44</v>
      </c>
      <c r="AL21" s="536">
        <f>'PLANILHA GERAL'!$J$134</f>
        <v>18.53</v>
      </c>
      <c r="AM21" s="534">
        <f>'PLANILHA GERAL'!$J$135</f>
        <v>2.33</v>
      </c>
      <c r="AN21" s="534">
        <f>'PLANILHA GERAL'!$J$136</f>
        <v>1.22</v>
      </c>
      <c r="AO21" s="534">
        <f>'PLANILHA GERAL'!$J$137</f>
        <v>77.989999999999995</v>
      </c>
      <c r="AP21" s="534">
        <f>'PLANILHA GERAL'!$J$138</f>
        <v>18.53</v>
      </c>
      <c r="AQ21" s="534">
        <f>'PLANILHA GERAL'!$J$139</f>
        <v>2.33</v>
      </c>
      <c r="AR21" s="534">
        <f>'PLANILHA GERAL'!$J$140</f>
        <v>1.22</v>
      </c>
      <c r="AS21" s="534">
        <f t="shared" ref="AS21:AS36" si="16">E21*AC21+G21*AD21+H21*AE21+I21*AF21+K21*AG21+L21*AH21+M21*AI21+N21*AJ21+P21*AK21+R21*AL21+S21*AM21+T21*AN21+V21*AO21+W21*AP21+Y21*AQ21+Z21*AR21</f>
        <v>0</v>
      </c>
    </row>
    <row r="22" spans="1:45" s="537" customFormat="1" ht="90" hidden="1" customHeight="1">
      <c r="A22" s="526"/>
      <c r="B22" s="527"/>
      <c r="C22" s="528"/>
      <c r="D22" s="529"/>
      <c r="E22" s="529"/>
      <c r="F22" s="529"/>
      <c r="G22" s="529"/>
      <c r="H22" s="529"/>
      <c r="I22" s="529"/>
      <c r="J22" s="529"/>
      <c r="K22" s="529"/>
      <c r="L22" s="529"/>
      <c r="M22" s="529"/>
      <c r="N22" s="529"/>
      <c r="O22" s="529"/>
      <c r="P22" s="529"/>
      <c r="Q22" s="529"/>
      <c r="R22" s="529"/>
      <c r="S22" s="529"/>
      <c r="T22" s="529"/>
      <c r="U22" s="529"/>
      <c r="V22" s="529"/>
      <c r="W22" s="529"/>
      <c r="X22" s="529"/>
      <c r="Y22" s="530"/>
      <c r="Z22" s="531"/>
      <c r="AB22" s="533">
        <f t="shared" si="1"/>
        <v>0</v>
      </c>
      <c r="AC22" s="534">
        <f>'PLANILHA GERAL'!$J$122</f>
        <v>6.35</v>
      </c>
      <c r="AD22" s="534">
        <f>'PLANILHA GERAL'!$J$123</f>
        <v>18.53</v>
      </c>
      <c r="AE22" s="534">
        <f>'PLANILHA GERAL'!$J$124</f>
        <v>3.7</v>
      </c>
      <c r="AF22" s="534">
        <f>'PLANILHA GERAL'!$J$125</f>
        <v>18.53</v>
      </c>
      <c r="AG22" s="534">
        <f>'PLANILHA GERAL'!$J$126</f>
        <v>47.61</v>
      </c>
      <c r="AH22" s="534">
        <f>'PLANILHA GERAL'!$J$127</f>
        <v>2.33</v>
      </c>
      <c r="AI22" s="535">
        <f>'PLANILHA GERAL'!$J$128</f>
        <v>1.22</v>
      </c>
      <c r="AJ22" s="535">
        <f>'PLANILHA GERAL'!$J$129</f>
        <v>14.52</v>
      </c>
      <c r="AK22" s="536">
        <f>'PLANILHA GERAL'!$J$132</f>
        <v>238.44</v>
      </c>
      <c r="AL22" s="536">
        <f>'PLANILHA GERAL'!$J$134</f>
        <v>18.53</v>
      </c>
      <c r="AM22" s="534">
        <f>'PLANILHA GERAL'!$J$135</f>
        <v>2.33</v>
      </c>
      <c r="AN22" s="534">
        <f>'PLANILHA GERAL'!$J$136</f>
        <v>1.22</v>
      </c>
      <c r="AO22" s="534">
        <f>'PLANILHA GERAL'!$J$137</f>
        <v>77.989999999999995</v>
      </c>
      <c r="AP22" s="534">
        <f>'PLANILHA GERAL'!$J$138</f>
        <v>18.53</v>
      </c>
      <c r="AQ22" s="534">
        <f>'PLANILHA GERAL'!$J$139</f>
        <v>2.33</v>
      </c>
      <c r="AR22" s="534">
        <f>'PLANILHA GERAL'!$J$140</f>
        <v>1.22</v>
      </c>
      <c r="AS22" s="534">
        <f t="shared" si="16"/>
        <v>0</v>
      </c>
    </row>
    <row r="23" spans="1:45" s="537" customFormat="1" ht="90" hidden="1" customHeight="1">
      <c r="A23" s="526"/>
      <c r="B23" s="527"/>
      <c r="C23" s="528"/>
      <c r="D23" s="529"/>
      <c r="E23" s="529"/>
      <c r="F23" s="529"/>
      <c r="G23" s="529"/>
      <c r="H23" s="529"/>
      <c r="I23" s="529"/>
      <c r="J23" s="529"/>
      <c r="K23" s="529"/>
      <c r="L23" s="529"/>
      <c r="M23" s="529"/>
      <c r="N23" s="529"/>
      <c r="O23" s="529"/>
      <c r="P23" s="529"/>
      <c r="Q23" s="529"/>
      <c r="R23" s="529"/>
      <c r="S23" s="529"/>
      <c r="T23" s="529"/>
      <c r="U23" s="529"/>
      <c r="V23" s="529"/>
      <c r="W23" s="529"/>
      <c r="X23" s="529"/>
      <c r="Y23" s="530"/>
      <c r="Z23" s="531"/>
      <c r="AB23" s="533">
        <f t="shared" si="1"/>
        <v>0</v>
      </c>
      <c r="AC23" s="534">
        <f>'PLANILHA GERAL'!$J$122</f>
        <v>6.35</v>
      </c>
      <c r="AD23" s="534">
        <f>'PLANILHA GERAL'!$J$123</f>
        <v>18.53</v>
      </c>
      <c r="AE23" s="534">
        <f>'PLANILHA GERAL'!$J$124</f>
        <v>3.7</v>
      </c>
      <c r="AF23" s="534">
        <f>'PLANILHA GERAL'!$J$125</f>
        <v>18.53</v>
      </c>
      <c r="AG23" s="534">
        <f>'PLANILHA GERAL'!$J$126</f>
        <v>47.61</v>
      </c>
      <c r="AH23" s="534">
        <f>'PLANILHA GERAL'!$J$127</f>
        <v>2.33</v>
      </c>
      <c r="AI23" s="535">
        <f>'PLANILHA GERAL'!$J$128</f>
        <v>1.22</v>
      </c>
      <c r="AJ23" s="535">
        <f>'PLANILHA GERAL'!$J$129</f>
        <v>14.52</v>
      </c>
      <c r="AK23" s="536">
        <f>'PLANILHA GERAL'!$J$132</f>
        <v>238.44</v>
      </c>
      <c r="AL23" s="536">
        <f>'PLANILHA GERAL'!$J$134</f>
        <v>18.53</v>
      </c>
      <c r="AM23" s="534">
        <f>'PLANILHA GERAL'!$J$135</f>
        <v>2.33</v>
      </c>
      <c r="AN23" s="534">
        <f>'PLANILHA GERAL'!$J$136</f>
        <v>1.22</v>
      </c>
      <c r="AO23" s="534">
        <f>'PLANILHA GERAL'!$J$137</f>
        <v>77.989999999999995</v>
      </c>
      <c r="AP23" s="534">
        <f>'PLANILHA GERAL'!$J$138</f>
        <v>18.53</v>
      </c>
      <c r="AQ23" s="534">
        <f>'PLANILHA GERAL'!$J$139</f>
        <v>2.33</v>
      </c>
      <c r="AR23" s="534">
        <f>'PLANILHA GERAL'!$J$140</f>
        <v>1.22</v>
      </c>
      <c r="AS23" s="534">
        <f t="shared" si="16"/>
        <v>0</v>
      </c>
    </row>
    <row r="24" spans="1:45" s="537" customFormat="1" ht="90" hidden="1" customHeight="1">
      <c r="A24" s="526"/>
      <c r="B24" s="527"/>
      <c r="C24" s="528"/>
      <c r="D24" s="529"/>
      <c r="E24" s="529"/>
      <c r="F24" s="529"/>
      <c r="G24" s="529"/>
      <c r="H24" s="529"/>
      <c r="I24" s="529"/>
      <c r="J24" s="529"/>
      <c r="K24" s="529"/>
      <c r="L24" s="529"/>
      <c r="M24" s="529"/>
      <c r="N24" s="529"/>
      <c r="O24" s="529"/>
      <c r="P24" s="529"/>
      <c r="Q24" s="529"/>
      <c r="R24" s="529"/>
      <c r="S24" s="529"/>
      <c r="T24" s="529"/>
      <c r="U24" s="529"/>
      <c r="V24" s="529"/>
      <c r="W24" s="529"/>
      <c r="X24" s="529"/>
      <c r="Y24" s="530"/>
      <c r="Z24" s="531"/>
      <c r="AB24" s="533">
        <f t="shared" si="1"/>
        <v>0</v>
      </c>
      <c r="AC24" s="534">
        <f>'PLANILHA GERAL'!$J$122</f>
        <v>6.35</v>
      </c>
      <c r="AD24" s="534">
        <f>'PLANILHA GERAL'!$J$123</f>
        <v>18.53</v>
      </c>
      <c r="AE24" s="534">
        <f>'PLANILHA GERAL'!$J$124</f>
        <v>3.7</v>
      </c>
      <c r="AF24" s="534">
        <f>'PLANILHA GERAL'!$J$125</f>
        <v>18.53</v>
      </c>
      <c r="AG24" s="534">
        <f>'PLANILHA GERAL'!$J$126</f>
        <v>47.61</v>
      </c>
      <c r="AH24" s="534">
        <f>'PLANILHA GERAL'!$J$127</f>
        <v>2.33</v>
      </c>
      <c r="AI24" s="535">
        <f>'PLANILHA GERAL'!$J$128</f>
        <v>1.22</v>
      </c>
      <c r="AJ24" s="535">
        <f>'PLANILHA GERAL'!$J$129</f>
        <v>14.52</v>
      </c>
      <c r="AK24" s="536">
        <f>'PLANILHA GERAL'!$J$132</f>
        <v>238.44</v>
      </c>
      <c r="AL24" s="536">
        <f>'PLANILHA GERAL'!$J$134</f>
        <v>18.53</v>
      </c>
      <c r="AM24" s="534">
        <f>'PLANILHA GERAL'!$J$135</f>
        <v>2.33</v>
      </c>
      <c r="AN24" s="534">
        <f>'PLANILHA GERAL'!$J$136</f>
        <v>1.22</v>
      </c>
      <c r="AO24" s="534">
        <f>'PLANILHA GERAL'!$J$137</f>
        <v>77.989999999999995</v>
      </c>
      <c r="AP24" s="534">
        <f>'PLANILHA GERAL'!$J$138</f>
        <v>18.53</v>
      </c>
      <c r="AQ24" s="534">
        <f>'PLANILHA GERAL'!$J$139</f>
        <v>2.33</v>
      </c>
      <c r="AR24" s="534">
        <f>'PLANILHA GERAL'!$J$140</f>
        <v>1.22</v>
      </c>
      <c r="AS24" s="534">
        <f t="shared" si="16"/>
        <v>0</v>
      </c>
    </row>
    <row r="25" spans="1:45" s="537" customFormat="1" ht="90" hidden="1" customHeight="1">
      <c r="A25" s="526"/>
      <c r="B25" s="527"/>
      <c r="C25" s="528"/>
      <c r="D25" s="529"/>
      <c r="E25" s="529">
        <f t="shared" ref="E25:E36" si="17">C25*(D25+1)*0</f>
        <v>0</v>
      </c>
      <c r="F25" s="529"/>
      <c r="G25" s="529">
        <f t="shared" si="2"/>
        <v>0</v>
      </c>
      <c r="H25" s="529">
        <f t="shared" si="3"/>
        <v>0</v>
      </c>
      <c r="I25" s="529">
        <f t="shared" ref="I25:I31" si="18">E25*J25</f>
        <v>0</v>
      </c>
      <c r="J25" s="529">
        <f t="shared" si="4"/>
        <v>0</v>
      </c>
      <c r="K25" s="529">
        <f t="shared" si="5"/>
        <v>0</v>
      </c>
      <c r="L25" s="529">
        <f t="shared" si="6"/>
        <v>0</v>
      </c>
      <c r="M25" s="529">
        <f t="shared" ref="M25:M54" si="19">K25*1.3*$M$17</f>
        <v>0</v>
      </c>
      <c r="N25" s="529">
        <f t="shared" si="7"/>
        <v>0</v>
      </c>
      <c r="O25" s="529"/>
      <c r="P25" s="529">
        <f t="shared" si="8"/>
        <v>0</v>
      </c>
      <c r="Q25" s="529"/>
      <c r="R25" s="529">
        <f t="shared" si="9"/>
        <v>0</v>
      </c>
      <c r="S25" s="529">
        <f t="shared" si="10"/>
        <v>0</v>
      </c>
      <c r="T25" s="529">
        <f t="shared" si="11"/>
        <v>0</v>
      </c>
      <c r="U25" s="529"/>
      <c r="V25" s="529">
        <f t="shared" si="12"/>
        <v>0</v>
      </c>
      <c r="W25" s="529">
        <f t="shared" si="13"/>
        <v>0</v>
      </c>
      <c r="X25" s="529">
        <v>5</v>
      </c>
      <c r="Y25" s="530">
        <f t="shared" si="14"/>
        <v>0</v>
      </c>
      <c r="Z25" s="531">
        <f t="shared" si="15"/>
        <v>0</v>
      </c>
      <c r="AB25" s="533">
        <f t="shared" si="1"/>
        <v>0</v>
      </c>
      <c r="AC25" s="534">
        <f>'PLANILHA GERAL'!$J$122</f>
        <v>6.35</v>
      </c>
      <c r="AD25" s="534">
        <f>'PLANILHA GERAL'!$J$123</f>
        <v>18.53</v>
      </c>
      <c r="AE25" s="534">
        <f>'PLANILHA GERAL'!$J$124</f>
        <v>3.7</v>
      </c>
      <c r="AF25" s="534">
        <f>'PLANILHA GERAL'!$J$125</f>
        <v>18.53</v>
      </c>
      <c r="AG25" s="534">
        <f>'PLANILHA GERAL'!$J$126</f>
        <v>47.61</v>
      </c>
      <c r="AH25" s="534">
        <f>'PLANILHA GERAL'!$J$127</f>
        <v>2.33</v>
      </c>
      <c r="AI25" s="535">
        <f>'PLANILHA GERAL'!$J$128</f>
        <v>1.22</v>
      </c>
      <c r="AJ25" s="535">
        <f>'PLANILHA GERAL'!$J$129</f>
        <v>14.52</v>
      </c>
      <c r="AK25" s="536">
        <f>'PLANILHA GERAL'!$J$132</f>
        <v>238.44</v>
      </c>
      <c r="AL25" s="536">
        <f>'PLANILHA GERAL'!$J$134</f>
        <v>18.53</v>
      </c>
      <c r="AM25" s="534">
        <f>'PLANILHA GERAL'!$J$135</f>
        <v>2.33</v>
      </c>
      <c r="AN25" s="534">
        <f>'PLANILHA GERAL'!$J$136</f>
        <v>1.22</v>
      </c>
      <c r="AO25" s="534">
        <f>'PLANILHA GERAL'!$J$137</f>
        <v>77.989999999999995</v>
      </c>
      <c r="AP25" s="534">
        <f>'PLANILHA GERAL'!$J$138</f>
        <v>18.53</v>
      </c>
      <c r="AQ25" s="534">
        <f>'PLANILHA GERAL'!$J$139</f>
        <v>2.33</v>
      </c>
      <c r="AR25" s="534">
        <f>'PLANILHA GERAL'!$J$140</f>
        <v>1.22</v>
      </c>
      <c r="AS25" s="534">
        <f t="shared" si="16"/>
        <v>0</v>
      </c>
    </row>
    <row r="26" spans="1:45" s="537" customFormat="1" ht="90" hidden="1" customHeight="1">
      <c r="A26" s="526"/>
      <c r="B26" s="527"/>
      <c r="C26" s="528"/>
      <c r="D26" s="529"/>
      <c r="E26" s="529">
        <f t="shared" si="17"/>
        <v>0</v>
      </c>
      <c r="F26" s="529"/>
      <c r="G26" s="529">
        <f t="shared" si="2"/>
        <v>0</v>
      </c>
      <c r="H26" s="529">
        <f t="shared" si="3"/>
        <v>0</v>
      </c>
      <c r="I26" s="529">
        <f t="shared" si="18"/>
        <v>0</v>
      </c>
      <c r="J26" s="529">
        <f t="shared" si="4"/>
        <v>0</v>
      </c>
      <c r="K26" s="529">
        <f t="shared" si="5"/>
        <v>0</v>
      </c>
      <c r="L26" s="529">
        <f t="shared" si="6"/>
        <v>0</v>
      </c>
      <c r="M26" s="529">
        <f t="shared" si="19"/>
        <v>0</v>
      </c>
      <c r="N26" s="529">
        <f t="shared" si="7"/>
        <v>0</v>
      </c>
      <c r="O26" s="529"/>
      <c r="P26" s="529">
        <f t="shared" si="8"/>
        <v>0</v>
      </c>
      <c r="Q26" s="529"/>
      <c r="R26" s="529">
        <f t="shared" si="9"/>
        <v>0</v>
      </c>
      <c r="S26" s="529">
        <f t="shared" si="10"/>
        <v>0</v>
      </c>
      <c r="T26" s="529">
        <f t="shared" si="11"/>
        <v>0</v>
      </c>
      <c r="U26" s="529"/>
      <c r="V26" s="529">
        <f t="shared" si="12"/>
        <v>0</v>
      </c>
      <c r="W26" s="529">
        <f t="shared" si="13"/>
        <v>0</v>
      </c>
      <c r="X26" s="529">
        <v>6</v>
      </c>
      <c r="Y26" s="530">
        <f t="shared" si="14"/>
        <v>0</v>
      </c>
      <c r="Z26" s="531">
        <f t="shared" si="15"/>
        <v>0</v>
      </c>
      <c r="AB26" s="533">
        <f t="shared" si="1"/>
        <v>0</v>
      </c>
      <c r="AC26" s="534">
        <f>'PLANILHA GERAL'!$J$122</f>
        <v>6.35</v>
      </c>
      <c r="AD26" s="534">
        <f>'PLANILHA GERAL'!$J$123</f>
        <v>18.53</v>
      </c>
      <c r="AE26" s="534">
        <f>'PLANILHA GERAL'!$J$124</f>
        <v>3.7</v>
      </c>
      <c r="AF26" s="534">
        <f>'PLANILHA GERAL'!$J$125</f>
        <v>18.53</v>
      </c>
      <c r="AG26" s="534">
        <f>'PLANILHA GERAL'!$J$126</f>
        <v>47.61</v>
      </c>
      <c r="AH26" s="534">
        <f>'PLANILHA GERAL'!$J$127</f>
        <v>2.33</v>
      </c>
      <c r="AI26" s="535">
        <f>'PLANILHA GERAL'!$J$128</f>
        <v>1.22</v>
      </c>
      <c r="AJ26" s="535">
        <f>'PLANILHA GERAL'!$J$129</f>
        <v>14.52</v>
      </c>
      <c r="AK26" s="536">
        <f>'PLANILHA GERAL'!$J$132</f>
        <v>238.44</v>
      </c>
      <c r="AL26" s="536">
        <f>'PLANILHA GERAL'!$J$134</f>
        <v>18.53</v>
      </c>
      <c r="AM26" s="534">
        <f>'PLANILHA GERAL'!$J$135</f>
        <v>2.33</v>
      </c>
      <c r="AN26" s="534">
        <f>'PLANILHA GERAL'!$J$136</f>
        <v>1.22</v>
      </c>
      <c r="AO26" s="534">
        <f>'PLANILHA GERAL'!$J$137</f>
        <v>77.989999999999995</v>
      </c>
      <c r="AP26" s="534">
        <f>'PLANILHA GERAL'!$J$138</f>
        <v>18.53</v>
      </c>
      <c r="AQ26" s="534">
        <f>'PLANILHA GERAL'!$J$139</f>
        <v>2.33</v>
      </c>
      <c r="AR26" s="534">
        <f>'PLANILHA GERAL'!$J$140</f>
        <v>1.22</v>
      </c>
      <c r="AS26" s="534">
        <f t="shared" si="16"/>
        <v>0</v>
      </c>
    </row>
    <row r="27" spans="1:45" s="532" customFormat="1" ht="90" hidden="1" customHeight="1">
      <c r="A27" s="526"/>
      <c r="B27" s="527"/>
      <c r="C27" s="528"/>
      <c r="D27" s="529"/>
      <c r="E27" s="529">
        <f>C27*(D27+1)</f>
        <v>0</v>
      </c>
      <c r="F27" s="529">
        <v>0.3</v>
      </c>
      <c r="G27" s="529">
        <f t="shared" si="2"/>
        <v>0</v>
      </c>
      <c r="H27" s="529">
        <f t="shared" si="3"/>
        <v>0</v>
      </c>
      <c r="I27" s="529">
        <f t="shared" si="18"/>
        <v>0</v>
      </c>
      <c r="J27" s="529">
        <f t="shared" si="4"/>
        <v>0.1</v>
      </c>
      <c r="K27" s="529">
        <f t="shared" si="5"/>
        <v>0</v>
      </c>
      <c r="L27" s="529">
        <f t="shared" si="6"/>
        <v>0</v>
      </c>
      <c r="M27" s="529">
        <f t="shared" si="19"/>
        <v>0</v>
      </c>
      <c r="N27" s="529">
        <f t="shared" si="7"/>
        <v>0</v>
      </c>
      <c r="O27" s="529">
        <v>0.1</v>
      </c>
      <c r="P27" s="529">
        <f t="shared" si="8"/>
        <v>0</v>
      </c>
      <c r="Q27" s="529"/>
      <c r="R27" s="529">
        <f t="shared" si="9"/>
        <v>0</v>
      </c>
      <c r="S27" s="529">
        <f t="shared" si="10"/>
        <v>0</v>
      </c>
      <c r="T27" s="529">
        <f t="shared" si="11"/>
        <v>0</v>
      </c>
      <c r="U27" s="529">
        <v>0.1</v>
      </c>
      <c r="V27" s="529">
        <f t="shared" si="12"/>
        <v>0</v>
      </c>
      <c r="W27" s="529">
        <f t="shared" si="13"/>
        <v>0</v>
      </c>
      <c r="X27" s="529">
        <v>7</v>
      </c>
      <c r="Y27" s="530">
        <f t="shared" si="14"/>
        <v>0</v>
      </c>
      <c r="Z27" s="531">
        <f t="shared" si="15"/>
        <v>0</v>
      </c>
      <c r="AB27" s="533">
        <f t="shared" si="1"/>
        <v>0</v>
      </c>
      <c r="AC27" s="534">
        <f>'PLANILHA GERAL'!$J$122</f>
        <v>6.35</v>
      </c>
      <c r="AD27" s="534">
        <f>'PLANILHA GERAL'!$J$123</f>
        <v>18.53</v>
      </c>
      <c r="AE27" s="534">
        <f>'PLANILHA GERAL'!$J$124</f>
        <v>3.7</v>
      </c>
      <c r="AF27" s="534">
        <f>'PLANILHA GERAL'!$J$125</f>
        <v>18.53</v>
      </c>
      <c r="AG27" s="534">
        <f>'PLANILHA GERAL'!$J$126</f>
        <v>47.61</v>
      </c>
      <c r="AH27" s="534">
        <f>'PLANILHA GERAL'!$J$127</f>
        <v>2.33</v>
      </c>
      <c r="AI27" s="535">
        <f>'PLANILHA GERAL'!$J$128</f>
        <v>1.22</v>
      </c>
      <c r="AJ27" s="535">
        <f>'PLANILHA GERAL'!$J$129</f>
        <v>14.52</v>
      </c>
      <c r="AK27" s="536">
        <f>'PLANILHA GERAL'!$J$132</f>
        <v>238.44</v>
      </c>
      <c r="AL27" s="536">
        <f>'PLANILHA GERAL'!$J$134</f>
        <v>18.53</v>
      </c>
      <c r="AM27" s="534">
        <f>'PLANILHA GERAL'!$J$135</f>
        <v>2.33</v>
      </c>
      <c r="AN27" s="534">
        <f>'PLANILHA GERAL'!$J$136</f>
        <v>1.22</v>
      </c>
      <c r="AO27" s="534">
        <f>'PLANILHA GERAL'!$J$137</f>
        <v>77.989999999999995</v>
      </c>
      <c r="AP27" s="534">
        <f>'PLANILHA GERAL'!$J$138</f>
        <v>18.53</v>
      </c>
      <c r="AQ27" s="534">
        <f>'PLANILHA GERAL'!$J$139</f>
        <v>2.33</v>
      </c>
      <c r="AR27" s="534">
        <f>'PLANILHA GERAL'!$J$140</f>
        <v>1.22</v>
      </c>
      <c r="AS27" s="534">
        <f t="shared" si="16"/>
        <v>0</v>
      </c>
    </row>
    <row r="28" spans="1:45" s="532" customFormat="1" ht="90" hidden="1" customHeight="1">
      <c r="A28" s="526"/>
      <c r="B28" s="527"/>
      <c r="C28" s="528"/>
      <c r="D28" s="529"/>
      <c r="E28" s="529">
        <f t="shared" si="17"/>
        <v>0</v>
      </c>
      <c r="F28" s="529"/>
      <c r="G28" s="529">
        <f t="shared" si="2"/>
        <v>0</v>
      </c>
      <c r="H28" s="529">
        <f t="shared" si="3"/>
        <v>0</v>
      </c>
      <c r="I28" s="529">
        <f t="shared" si="18"/>
        <v>0</v>
      </c>
      <c r="J28" s="529">
        <f t="shared" si="4"/>
        <v>0</v>
      </c>
      <c r="K28" s="529">
        <f t="shared" si="5"/>
        <v>0</v>
      </c>
      <c r="L28" s="529">
        <f t="shared" si="6"/>
        <v>0</v>
      </c>
      <c r="M28" s="529">
        <f t="shared" si="19"/>
        <v>0</v>
      </c>
      <c r="N28" s="529">
        <f t="shared" si="7"/>
        <v>0</v>
      </c>
      <c r="O28" s="529"/>
      <c r="P28" s="529">
        <f t="shared" si="8"/>
        <v>0</v>
      </c>
      <c r="Q28" s="529"/>
      <c r="R28" s="529">
        <f t="shared" si="9"/>
        <v>0</v>
      </c>
      <c r="S28" s="529">
        <f t="shared" si="10"/>
        <v>0</v>
      </c>
      <c r="T28" s="529">
        <f t="shared" si="11"/>
        <v>0</v>
      </c>
      <c r="U28" s="529"/>
      <c r="V28" s="529">
        <f t="shared" si="12"/>
        <v>0</v>
      </c>
      <c r="W28" s="529">
        <f t="shared" si="13"/>
        <v>0</v>
      </c>
      <c r="X28" s="529">
        <v>8</v>
      </c>
      <c r="Y28" s="530">
        <f t="shared" si="14"/>
        <v>0</v>
      </c>
      <c r="Z28" s="531">
        <f t="shared" si="15"/>
        <v>0</v>
      </c>
      <c r="AB28" s="533">
        <f t="shared" si="1"/>
        <v>0</v>
      </c>
      <c r="AC28" s="534">
        <f>'PLANILHA GERAL'!$J$122</f>
        <v>6.35</v>
      </c>
      <c r="AD28" s="534">
        <f>'PLANILHA GERAL'!$J$123</f>
        <v>18.53</v>
      </c>
      <c r="AE28" s="534">
        <f>'PLANILHA GERAL'!$J$124</f>
        <v>3.7</v>
      </c>
      <c r="AF28" s="534">
        <f>'PLANILHA GERAL'!$J$125</f>
        <v>18.53</v>
      </c>
      <c r="AG28" s="534">
        <f>'PLANILHA GERAL'!$J$126</f>
        <v>47.61</v>
      </c>
      <c r="AH28" s="534">
        <f>'PLANILHA GERAL'!$J$127</f>
        <v>2.33</v>
      </c>
      <c r="AI28" s="535">
        <f>'PLANILHA GERAL'!$J$128</f>
        <v>1.22</v>
      </c>
      <c r="AJ28" s="535">
        <f>'PLANILHA GERAL'!$J$129</f>
        <v>14.52</v>
      </c>
      <c r="AK28" s="536">
        <f>'PLANILHA GERAL'!$J$132</f>
        <v>238.44</v>
      </c>
      <c r="AL28" s="536">
        <f>'PLANILHA GERAL'!$J$134</f>
        <v>18.53</v>
      </c>
      <c r="AM28" s="534">
        <f>'PLANILHA GERAL'!$J$135</f>
        <v>2.33</v>
      </c>
      <c r="AN28" s="534">
        <f>'PLANILHA GERAL'!$J$136</f>
        <v>1.22</v>
      </c>
      <c r="AO28" s="534">
        <f>'PLANILHA GERAL'!$J$137</f>
        <v>77.989999999999995</v>
      </c>
      <c r="AP28" s="534">
        <f>'PLANILHA GERAL'!$J$138</f>
        <v>18.53</v>
      </c>
      <c r="AQ28" s="534">
        <f>'PLANILHA GERAL'!$J$139</f>
        <v>2.33</v>
      </c>
      <c r="AR28" s="534">
        <f>'PLANILHA GERAL'!$J$140</f>
        <v>1.22</v>
      </c>
      <c r="AS28" s="534">
        <f t="shared" si="16"/>
        <v>0</v>
      </c>
    </row>
    <row r="29" spans="1:45" s="532" customFormat="1" ht="90" hidden="1" customHeight="1">
      <c r="A29" s="526"/>
      <c r="B29" s="527"/>
      <c r="C29" s="528"/>
      <c r="D29" s="529"/>
      <c r="E29" s="529">
        <f t="shared" si="17"/>
        <v>0</v>
      </c>
      <c r="F29" s="529"/>
      <c r="G29" s="529">
        <f t="shared" si="2"/>
        <v>0</v>
      </c>
      <c r="H29" s="529">
        <f t="shared" si="3"/>
        <v>0</v>
      </c>
      <c r="I29" s="529">
        <f t="shared" si="18"/>
        <v>0</v>
      </c>
      <c r="J29" s="529">
        <f t="shared" si="4"/>
        <v>0</v>
      </c>
      <c r="K29" s="529">
        <f t="shared" si="5"/>
        <v>0</v>
      </c>
      <c r="L29" s="529">
        <f t="shared" si="6"/>
        <v>0</v>
      </c>
      <c r="M29" s="529">
        <f t="shared" si="19"/>
        <v>0</v>
      </c>
      <c r="N29" s="529">
        <f t="shared" si="7"/>
        <v>0</v>
      </c>
      <c r="O29" s="529"/>
      <c r="P29" s="529">
        <f t="shared" si="8"/>
        <v>0</v>
      </c>
      <c r="Q29" s="529"/>
      <c r="R29" s="529">
        <f t="shared" si="9"/>
        <v>0</v>
      </c>
      <c r="S29" s="529">
        <f t="shared" si="10"/>
        <v>0</v>
      </c>
      <c r="T29" s="529">
        <f t="shared" si="11"/>
        <v>0</v>
      </c>
      <c r="U29" s="529"/>
      <c r="V29" s="529">
        <f t="shared" si="12"/>
        <v>0</v>
      </c>
      <c r="W29" s="529">
        <f t="shared" si="13"/>
        <v>0</v>
      </c>
      <c r="X29" s="529">
        <v>9</v>
      </c>
      <c r="Y29" s="530">
        <f t="shared" si="14"/>
        <v>0</v>
      </c>
      <c r="Z29" s="531">
        <f t="shared" si="15"/>
        <v>0</v>
      </c>
      <c r="AB29" s="533">
        <f t="shared" si="1"/>
        <v>0</v>
      </c>
      <c r="AC29" s="534">
        <f>'PLANILHA GERAL'!$J$122</f>
        <v>6.35</v>
      </c>
      <c r="AD29" s="534">
        <f>'PLANILHA GERAL'!$J$123</f>
        <v>18.53</v>
      </c>
      <c r="AE29" s="534">
        <f>'PLANILHA GERAL'!$J$124</f>
        <v>3.7</v>
      </c>
      <c r="AF29" s="534">
        <f>'PLANILHA GERAL'!$J$125</f>
        <v>18.53</v>
      </c>
      <c r="AG29" s="534">
        <f>'PLANILHA GERAL'!$J$126</f>
        <v>47.61</v>
      </c>
      <c r="AH29" s="534">
        <f>'PLANILHA GERAL'!$J$127</f>
        <v>2.33</v>
      </c>
      <c r="AI29" s="535">
        <f>'PLANILHA GERAL'!$J$128</f>
        <v>1.22</v>
      </c>
      <c r="AJ29" s="535">
        <f>'PLANILHA GERAL'!$J$129</f>
        <v>14.52</v>
      </c>
      <c r="AK29" s="536">
        <f>'PLANILHA GERAL'!$J$132</f>
        <v>238.44</v>
      </c>
      <c r="AL29" s="536">
        <f>'PLANILHA GERAL'!$J$134</f>
        <v>18.53</v>
      </c>
      <c r="AM29" s="534">
        <f>'PLANILHA GERAL'!$J$135</f>
        <v>2.33</v>
      </c>
      <c r="AN29" s="534">
        <f>'PLANILHA GERAL'!$J$136</f>
        <v>1.22</v>
      </c>
      <c r="AO29" s="534">
        <f>'PLANILHA GERAL'!$J$137</f>
        <v>77.989999999999995</v>
      </c>
      <c r="AP29" s="534">
        <f>'PLANILHA GERAL'!$J$138</f>
        <v>18.53</v>
      </c>
      <c r="AQ29" s="534">
        <f>'PLANILHA GERAL'!$J$139</f>
        <v>2.33</v>
      </c>
      <c r="AR29" s="534">
        <f>'PLANILHA GERAL'!$J$140</f>
        <v>1.22</v>
      </c>
      <c r="AS29" s="534">
        <f t="shared" si="16"/>
        <v>0</v>
      </c>
    </row>
    <row r="30" spans="1:45" s="532" customFormat="1" ht="90" hidden="1" customHeight="1">
      <c r="A30" s="526"/>
      <c r="B30" s="527"/>
      <c r="C30" s="528"/>
      <c r="D30" s="529"/>
      <c r="E30" s="529">
        <f t="shared" si="17"/>
        <v>0</v>
      </c>
      <c r="F30" s="529"/>
      <c r="G30" s="529">
        <f t="shared" si="2"/>
        <v>0</v>
      </c>
      <c r="H30" s="529">
        <f t="shared" si="3"/>
        <v>0</v>
      </c>
      <c r="I30" s="529">
        <f t="shared" si="18"/>
        <v>0</v>
      </c>
      <c r="J30" s="529">
        <f t="shared" si="4"/>
        <v>0</v>
      </c>
      <c r="K30" s="529">
        <f t="shared" si="5"/>
        <v>0</v>
      </c>
      <c r="L30" s="529">
        <f t="shared" si="6"/>
        <v>0</v>
      </c>
      <c r="M30" s="529">
        <f t="shared" si="19"/>
        <v>0</v>
      </c>
      <c r="N30" s="529">
        <f t="shared" si="7"/>
        <v>0</v>
      </c>
      <c r="O30" s="529"/>
      <c r="P30" s="529">
        <f t="shared" si="8"/>
        <v>0</v>
      </c>
      <c r="Q30" s="529"/>
      <c r="R30" s="529">
        <f t="shared" si="9"/>
        <v>0</v>
      </c>
      <c r="S30" s="529">
        <f t="shared" si="10"/>
        <v>0</v>
      </c>
      <c r="T30" s="529">
        <f t="shared" si="11"/>
        <v>0</v>
      </c>
      <c r="U30" s="529"/>
      <c r="V30" s="529">
        <f t="shared" si="12"/>
        <v>0</v>
      </c>
      <c r="W30" s="529">
        <f t="shared" si="13"/>
        <v>0</v>
      </c>
      <c r="X30" s="529">
        <v>10</v>
      </c>
      <c r="Y30" s="530">
        <f t="shared" si="14"/>
        <v>0</v>
      </c>
      <c r="Z30" s="531">
        <f t="shared" si="15"/>
        <v>0</v>
      </c>
      <c r="AB30" s="533">
        <f t="shared" si="1"/>
        <v>0</v>
      </c>
      <c r="AC30" s="534">
        <f>'PLANILHA GERAL'!$J$122</f>
        <v>6.35</v>
      </c>
      <c r="AD30" s="534">
        <f>'PLANILHA GERAL'!$J$123</f>
        <v>18.53</v>
      </c>
      <c r="AE30" s="534">
        <f>'PLANILHA GERAL'!$J$124</f>
        <v>3.7</v>
      </c>
      <c r="AF30" s="534">
        <f>'PLANILHA GERAL'!$J$125</f>
        <v>18.53</v>
      </c>
      <c r="AG30" s="534">
        <f>'PLANILHA GERAL'!$J$126</f>
        <v>47.61</v>
      </c>
      <c r="AH30" s="534">
        <f>'PLANILHA GERAL'!$J$127</f>
        <v>2.33</v>
      </c>
      <c r="AI30" s="535">
        <f>'PLANILHA GERAL'!$J$128</f>
        <v>1.22</v>
      </c>
      <c r="AJ30" s="535">
        <f>'PLANILHA GERAL'!$J$129</f>
        <v>14.52</v>
      </c>
      <c r="AK30" s="536">
        <f>'PLANILHA GERAL'!$J$132</f>
        <v>238.44</v>
      </c>
      <c r="AL30" s="536">
        <f>'PLANILHA GERAL'!$J$134</f>
        <v>18.53</v>
      </c>
      <c r="AM30" s="534">
        <f>'PLANILHA GERAL'!$J$135</f>
        <v>2.33</v>
      </c>
      <c r="AN30" s="534">
        <f>'PLANILHA GERAL'!$J$136</f>
        <v>1.22</v>
      </c>
      <c r="AO30" s="534">
        <f>'PLANILHA GERAL'!$J$137</f>
        <v>77.989999999999995</v>
      </c>
      <c r="AP30" s="534">
        <f>'PLANILHA GERAL'!$J$138</f>
        <v>18.53</v>
      </c>
      <c r="AQ30" s="534">
        <f>'PLANILHA GERAL'!$J$139</f>
        <v>2.33</v>
      </c>
      <c r="AR30" s="534">
        <f>'PLANILHA GERAL'!$J$140</f>
        <v>1.22</v>
      </c>
      <c r="AS30" s="534">
        <f t="shared" si="16"/>
        <v>0</v>
      </c>
    </row>
    <row r="31" spans="1:45" s="537" customFormat="1" ht="90" hidden="1" customHeight="1">
      <c r="A31" s="526"/>
      <c r="B31" s="527"/>
      <c r="C31" s="528"/>
      <c r="D31" s="529"/>
      <c r="E31" s="529">
        <f t="shared" si="17"/>
        <v>0</v>
      </c>
      <c r="F31" s="529"/>
      <c r="G31" s="529">
        <f t="shared" si="2"/>
        <v>0</v>
      </c>
      <c r="H31" s="529">
        <f t="shared" si="3"/>
        <v>0</v>
      </c>
      <c r="I31" s="529">
        <f t="shared" si="18"/>
        <v>0</v>
      </c>
      <c r="J31" s="529">
        <f t="shared" si="4"/>
        <v>0</v>
      </c>
      <c r="K31" s="529">
        <f t="shared" si="5"/>
        <v>0</v>
      </c>
      <c r="L31" s="529">
        <f t="shared" si="6"/>
        <v>0</v>
      </c>
      <c r="M31" s="529">
        <f t="shared" si="19"/>
        <v>0</v>
      </c>
      <c r="N31" s="529">
        <f t="shared" si="7"/>
        <v>0</v>
      </c>
      <c r="O31" s="529"/>
      <c r="P31" s="529">
        <f t="shared" si="8"/>
        <v>0</v>
      </c>
      <c r="Q31" s="529"/>
      <c r="R31" s="529">
        <f t="shared" si="9"/>
        <v>0</v>
      </c>
      <c r="S31" s="529">
        <f t="shared" si="10"/>
        <v>0</v>
      </c>
      <c r="T31" s="529">
        <f t="shared" si="11"/>
        <v>0</v>
      </c>
      <c r="U31" s="529"/>
      <c r="V31" s="529">
        <f t="shared" si="12"/>
        <v>0</v>
      </c>
      <c r="W31" s="529">
        <f t="shared" si="13"/>
        <v>0</v>
      </c>
      <c r="X31" s="529">
        <v>11</v>
      </c>
      <c r="Y31" s="530">
        <f t="shared" si="14"/>
        <v>0</v>
      </c>
      <c r="Z31" s="531">
        <f t="shared" si="15"/>
        <v>0</v>
      </c>
      <c r="AB31" s="533">
        <f t="shared" si="1"/>
        <v>0</v>
      </c>
      <c r="AC31" s="534">
        <f>'PLANILHA GERAL'!$J$122</f>
        <v>6.35</v>
      </c>
      <c r="AD31" s="534">
        <f>'PLANILHA GERAL'!$J$123</f>
        <v>18.53</v>
      </c>
      <c r="AE31" s="534">
        <f>'PLANILHA GERAL'!$J$124</f>
        <v>3.7</v>
      </c>
      <c r="AF31" s="534">
        <f>'PLANILHA GERAL'!$J$125</f>
        <v>18.53</v>
      </c>
      <c r="AG31" s="534">
        <f>'PLANILHA GERAL'!$J$126</f>
        <v>47.61</v>
      </c>
      <c r="AH31" s="534">
        <f>'PLANILHA GERAL'!$J$127</f>
        <v>2.33</v>
      </c>
      <c r="AI31" s="535">
        <f>'PLANILHA GERAL'!$J$128</f>
        <v>1.22</v>
      </c>
      <c r="AJ31" s="535">
        <f>'PLANILHA GERAL'!$J$129</f>
        <v>14.52</v>
      </c>
      <c r="AK31" s="536">
        <f>'PLANILHA GERAL'!$J$132</f>
        <v>238.44</v>
      </c>
      <c r="AL31" s="536">
        <f>'PLANILHA GERAL'!$J$134</f>
        <v>18.53</v>
      </c>
      <c r="AM31" s="534">
        <f>'PLANILHA GERAL'!$J$135</f>
        <v>2.33</v>
      </c>
      <c r="AN31" s="534">
        <f>'PLANILHA GERAL'!$J$136</f>
        <v>1.22</v>
      </c>
      <c r="AO31" s="534">
        <f>'PLANILHA GERAL'!$J$137</f>
        <v>77.989999999999995</v>
      </c>
      <c r="AP31" s="534">
        <f>'PLANILHA GERAL'!$J$138</f>
        <v>18.53</v>
      </c>
      <c r="AQ31" s="534">
        <f>'PLANILHA GERAL'!$J$139</f>
        <v>2.33</v>
      </c>
      <c r="AR31" s="534">
        <f>'PLANILHA GERAL'!$J$140</f>
        <v>1.22</v>
      </c>
      <c r="AS31" s="534">
        <f t="shared" si="16"/>
        <v>0</v>
      </c>
    </row>
    <row r="32" spans="1:45" s="537" customFormat="1" ht="90" hidden="1" customHeight="1">
      <c r="A32" s="526"/>
      <c r="B32" s="527"/>
      <c r="C32" s="528"/>
      <c r="D32" s="529"/>
      <c r="E32" s="529">
        <f t="shared" si="17"/>
        <v>0</v>
      </c>
      <c r="F32" s="529"/>
      <c r="G32" s="529">
        <f t="shared" si="2"/>
        <v>0</v>
      </c>
      <c r="H32" s="529">
        <f t="shared" si="3"/>
        <v>0</v>
      </c>
      <c r="I32" s="529">
        <f t="shared" ref="I32:I36" si="20">E32*F32</f>
        <v>0</v>
      </c>
      <c r="J32" s="529">
        <f t="shared" si="4"/>
        <v>0</v>
      </c>
      <c r="K32" s="529">
        <f t="shared" si="5"/>
        <v>0</v>
      </c>
      <c r="L32" s="529">
        <f t="shared" si="6"/>
        <v>0</v>
      </c>
      <c r="M32" s="529">
        <f t="shared" si="19"/>
        <v>0</v>
      </c>
      <c r="N32" s="529">
        <f t="shared" si="7"/>
        <v>0</v>
      </c>
      <c r="O32" s="529"/>
      <c r="P32" s="529">
        <f t="shared" si="8"/>
        <v>0</v>
      </c>
      <c r="Q32" s="529"/>
      <c r="R32" s="529">
        <f t="shared" si="9"/>
        <v>0</v>
      </c>
      <c r="S32" s="529">
        <f t="shared" si="10"/>
        <v>0</v>
      </c>
      <c r="T32" s="529">
        <f t="shared" si="11"/>
        <v>0</v>
      </c>
      <c r="U32" s="529"/>
      <c r="V32" s="529">
        <f t="shared" si="12"/>
        <v>0</v>
      </c>
      <c r="W32" s="529">
        <f t="shared" si="13"/>
        <v>0</v>
      </c>
      <c r="X32" s="529">
        <v>12</v>
      </c>
      <c r="Y32" s="530">
        <f t="shared" si="14"/>
        <v>0</v>
      </c>
      <c r="Z32" s="531">
        <f t="shared" si="15"/>
        <v>0</v>
      </c>
      <c r="AB32" s="533">
        <f t="shared" si="1"/>
        <v>0</v>
      </c>
      <c r="AC32" s="534">
        <f>'PLANILHA GERAL'!$J$122</f>
        <v>6.35</v>
      </c>
      <c r="AD32" s="534">
        <f>'PLANILHA GERAL'!$J$123</f>
        <v>18.53</v>
      </c>
      <c r="AE32" s="534">
        <f>'PLANILHA GERAL'!$J$124</f>
        <v>3.7</v>
      </c>
      <c r="AF32" s="534">
        <f>'PLANILHA GERAL'!$J$125</f>
        <v>18.53</v>
      </c>
      <c r="AG32" s="534">
        <f>'PLANILHA GERAL'!$J$126</f>
        <v>47.61</v>
      </c>
      <c r="AH32" s="534">
        <f>'PLANILHA GERAL'!$J$127</f>
        <v>2.33</v>
      </c>
      <c r="AI32" s="535">
        <f>'PLANILHA GERAL'!$J$128</f>
        <v>1.22</v>
      </c>
      <c r="AJ32" s="535">
        <f>'PLANILHA GERAL'!$J$129</f>
        <v>14.52</v>
      </c>
      <c r="AK32" s="536">
        <f>'PLANILHA GERAL'!$J$132</f>
        <v>238.44</v>
      </c>
      <c r="AL32" s="536">
        <f>'PLANILHA GERAL'!$J$134</f>
        <v>18.53</v>
      </c>
      <c r="AM32" s="534">
        <f>'PLANILHA GERAL'!$J$135</f>
        <v>2.33</v>
      </c>
      <c r="AN32" s="534">
        <f>'PLANILHA GERAL'!$J$136</f>
        <v>1.22</v>
      </c>
      <c r="AO32" s="534">
        <f>'PLANILHA GERAL'!$J$137</f>
        <v>77.989999999999995</v>
      </c>
      <c r="AP32" s="534">
        <f>'PLANILHA GERAL'!$J$138</f>
        <v>18.53</v>
      </c>
      <c r="AQ32" s="534">
        <f>'PLANILHA GERAL'!$J$139</f>
        <v>2.33</v>
      </c>
      <c r="AR32" s="534">
        <f>'PLANILHA GERAL'!$J$140</f>
        <v>1.22</v>
      </c>
      <c r="AS32" s="534">
        <f t="shared" si="16"/>
        <v>0</v>
      </c>
    </row>
    <row r="33" spans="1:45" s="537" customFormat="1" ht="90" hidden="1" customHeight="1">
      <c r="A33" s="526"/>
      <c r="B33" s="527"/>
      <c r="C33" s="528"/>
      <c r="D33" s="529"/>
      <c r="E33" s="529">
        <f t="shared" si="17"/>
        <v>0</v>
      </c>
      <c r="F33" s="529"/>
      <c r="G33" s="529">
        <f t="shared" si="2"/>
        <v>0</v>
      </c>
      <c r="H33" s="529">
        <f t="shared" si="3"/>
        <v>0</v>
      </c>
      <c r="I33" s="529">
        <f t="shared" si="20"/>
        <v>0</v>
      </c>
      <c r="J33" s="529">
        <f t="shared" si="4"/>
        <v>0</v>
      </c>
      <c r="K33" s="529">
        <f t="shared" si="5"/>
        <v>0</v>
      </c>
      <c r="L33" s="529">
        <f t="shared" si="6"/>
        <v>0</v>
      </c>
      <c r="M33" s="529">
        <f t="shared" si="19"/>
        <v>0</v>
      </c>
      <c r="N33" s="529">
        <f t="shared" si="7"/>
        <v>0</v>
      </c>
      <c r="O33" s="529"/>
      <c r="P33" s="529">
        <f t="shared" si="8"/>
        <v>0</v>
      </c>
      <c r="Q33" s="529"/>
      <c r="R33" s="529">
        <f t="shared" si="9"/>
        <v>0</v>
      </c>
      <c r="S33" s="529">
        <f t="shared" si="10"/>
        <v>0</v>
      </c>
      <c r="T33" s="529">
        <f t="shared" si="11"/>
        <v>0</v>
      </c>
      <c r="U33" s="529"/>
      <c r="V33" s="529">
        <f t="shared" si="12"/>
        <v>0</v>
      </c>
      <c r="W33" s="529">
        <f t="shared" si="13"/>
        <v>0</v>
      </c>
      <c r="X33" s="529">
        <v>13</v>
      </c>
      <c r="Y33" s="530">
        <f t="shared" si="14"/>
        <v>0</v>
      </c>
      <c r="Z33" s="531">
        <f t="shared" si="15"/>
        <v>0</v>
      </c>
      <c r="AB33" s="533">
        <f t="shared" si="1"/>
        <v>0</v>
      </c>
      <c r="AC33" s="534">
        <f>'PLANILHA GERAL'!$J$122</f>
        <v>6.35</v>
      </c>
      <c r="AD33" s="534">
        <f>'PLANILHA GERAL'!$J$123</f>
        <v>18.53</v>
      </c>
      <c r="AE33" s="534">
        <f>'PLANILHA GERAL'!$J$124</f>
        <v>3.7</v>
      </c>
      <c r="AF33" s="534">
        <f>'PLANILHA GERAL'!$J$125</f>
        <v>18.53</v>
      </c>
      <c r="AG33" s="534">
        <f>'PLANILHA GERAL'!$J$126</f>
        <v>47.61</v>
      </c>
      <c r="AH33" s="534">
        <f>'PLANILHA GERAL'!$J$127</f>
        <v>2.33</v>
      </c>
      <c r="AI33" s="535">
        <f>'PLANILHA GERAL'!$J$128</f>
        <v>1.22</v>
      </c>
      <c r="AJ33" s="535">
        <f>'PLANILHA GERAL'!$J$129</f>
        <v>14.52</v>
      </c>
      <c r="AK33" s="536">
        <f>'PLANILHA GERAL'!$J$132</f>
        <v>238.44</v>
      </c>
      <c r="AL33" s="536">
        <f>'PLANILHA GERAL'!$J$134</f>
        <v>18.53</v>
      </c>
      <c r="AM33" s="534">
        <f>'PLANILHA GERAL'!$J$135</f>
        <v>2.33</v>
      </c>
      <c r="AN33" s="534">
        <f>'PLANILHA GERAL'!$J$136</f>
        <v>1.22</v>
      </c>
      <c r="AO33" s="534">
        <f>'PLANILHA GERAL'!$J$137</f>
        <v>77.989999999999995</v>
      </c>
      <c r="AP33" s="534">
        <f>'PLANILHA GERAL'!$J$138</f>
        <v>18.53</v>
      </c>
      <c r="AQ33" s="534">
        <f>'PLANILHA GERAL'!$J$139</f>
        <v>2.33</v>
      </c>
      <c r="AR33" s="534">
        <f>'PLANILHA GERAL'!$J$140</f>
        <v>1.22</v>
      </c>
      <c r="AS33" s="534">
        <f t="shared" si="16"/>
        <v>0</v>
      </c>
    </row>
    <row r="34" spans="1:45" s="537" customFormat="1" ht="90" hidden="1" customHeight="1">
      <c r="A34" s="526"/>
      <c r="B34" s="527"/>
      <c r="C34" s="528"/>
      <c r="D34" s="529"/>
      <c r="E34" s="529">
        <f t="shared" si="17"/>
        <v>0</v>
      </c>
      <c r="F34" s="529">
        <f>0.3*0</f>
        <v>0</v>
      </c>
      <c r="G34" s="529">
        <f t="shared" si="2"/>
        <v>0</v>
      </c>
      <c r="H34" s="529">
        <f t="shared" si="3"/>
        <v>0</v>
      </c>
      <c r="I34" s="529">
        <f t="shared" si="20"/>
        <v>0</v>
      </c>
      <c r="J34" s="529">
        <f t="shared" si="4"/>
        <v>0</v>
      </c>
      <c r="K34" s="529">
        <f t="shared" si="5"/>
        <v>0</v>
      </c>
      <c r="L34" s="529">
        <f t="shared" si="6"/>
        <v>0</v>
      </c>
      <c r="M34" s="529">
        <f t="shared" si="19"/>
        <v>0</v>
      </c>
      <c r="N34" s="529">
        <f t="shared" si="7"/>
        <v>0</v>
      </c>
      <c r="O34" s="529">
        <f>0.1*0</f>
        <v>0</v>
      </c>
      <c r="P34" s="529">
        <f t="shared" si="8"/>
        <v>0</v>
      </c>
      <c r="Q34" s="529"/>
      <c r="R34" s="529">
        <f t="shared" si="9"/>
        <v>0</v>
      </c>
      <c r="S34" s="529">
        <f t="shared" si="10"/>
        <v>0</v>
      </c>
      <c r="T34" s="529">
        <f t="shared" si="11"/>
        <v>0</v>
      </c>
      <c r="U34" s="529">
        <f>0.1*0</f>
        <v>0</v>
      </c>
      <c r="V34" s="529">
        <f t="shared" si="12"/>
        <v>0</v>
      </c>
      <c r="W34" s="529">
        <f t="shared" si="13"/>
        <v>0</v>
      </c>
      <c r="X34" s="529">
        <v>14</v>
      </c>
      <c r="Y34" s="530">
        <f t="shared" si="14"/>
        <v>0</v>
      </c>
      <c r="Z34" s="531">
        <f t="shared" si="15"/>
        <v>0</v>
      </c>
      <c r="AB34" s="533">
        <f t="shared" si="1"/>
        <v>0</v>
      </c>
      <c r="AC34" s="534">
        <f>'PLANILHA GERAL'!$J$122</f>
        <v>6.35</v>
      </c>
      <c r="AD34" s="534">
        <f>'PLANILHA GERAL'!$J$123</f>
        <v>18.53</v>
      </c>
      <c r="AE34" s="534">
        <f>'PLANILHA GERAL'!$J$124</f>
        <v>3.7</v>
      </c>
      <c r="AF34" s="534">
        <f>'PLANILHA GERAL'!$J$125</f>
        <v>18.53</v>
      </c>
      <c r="AG34" s="534">
        <f>'PLANILHA GERAL'!$J$126</f>
        <v>47.61</v>
      </c>
      <c r="AH34" s="534">
        <f>'PLANILHA GERAL'!$J$127</f>
        <v>2.33</v>
      </c>
      <c r="AI34" s="535">
        <f>'PLANILHA GERAL'!$J$128</f>
        <v>1.22</v>
      </c>
      <c r="AJ34" s="535">
        <f>'PLANILHA GERAL'!$J$129</f>
        <v>14.52</v>
      </c>
      <c r="AK34" s="536">
        <f>'PLANILHA GERAL'!$J$132</f>
        <v>238.44</v>
      </c>
      <c r="AL34" s="536">
        <f>'PLANILHA GERAL'!$J$134</f>
        <v>18.53</v>
      </c>
      <c r="AM34" s="534">
        <f>'PLANILHA GERAL'!$J$135</f>
        <v>2.33</v>
      </c>
      <c r="AN34" s="534">
        <f>'PLANILHA GERAL'!$J$136</f>
        <v>1.22</v>
      </c>
      <c r="AO34" s="534">
        <f>'PLANILHA GERAL'!$J$137</f>
        <v>77.989999999999995</v>
      </c>
      <c r="AP34" s="534">
        <f>'PLANILHA GERAL'!$J$138</f>
        <v>18.53</v>
      </c>
      <c r="AQ34" s="534">
        <f>'PLANILHA GERAL'!$J$139</f>
        <v>2.33</v>
      </c>
      <c r="AR34" s="534">
        <f>'PLANILHA GERAL'!$J$140</f>
        <v>1.22</v>
      </c>
      <c r="AS34" s="534">
        <f t="shared" si="16"/>
        <v>0</v>
      </c>
    </row>
    <row r="35" spans="1:45" s="537" customFormat="1" ht="90" hidden="1" customHeight="1">
      <c r="A35" s="526"/>
      <c r="B35" s="527"/>
      <c r="C35" s="528"/>
      <c r="D35" s="529"/>
      <c r="E35" s="529">
        <f t="shared" si="17"/>
        <v>0</v>
      </c>
      <c r="F35" s="529"/>
      <c r="G35" s="529">
        <f t="shared" si="2"/>
        <v>0</v>
      </c>
      <c r="H35" s="529">
        <f t="shared" si="3"/>
        <v>0</v>
      </c>
      <c r="I35" s="529">
        <f t="shared" si="20"/>
        <v>0</v>
      </c>
      <c r="J35" s="529">
        <f t="shared" si="4"/>
        <v>0</v>
      </c>
      <c r="K35" s="529">
        <f t="shared" si="5"/>
        <v>0</v>
      </c>
      <c r="L35" s="529">
        <f t="shared" si="6"/>
        <v>0</v>
      </c>
      <c r="M35" s="529">
        <f t="shared" si="19"/>
        <v>0</v>
      </c>
      <c r="N35" s="529">
        <f t="shared" si="7"/>
        <v>0</v>
      </c>
      <c r="O35" s="529"/>
      <c r="P35" s="529">
        <f t="shared" si="8"/>
        <v>0</v>
      </c>
      <c r="Q35" s="529"/>
      <c r="R35" s="529">
        <f t="shared" si="9"/>
        <v>0</v>
      </c>
      <c r="S35" s="529">
        <f t="shared" si="10"/>
        <v>0</v>
      </c>
      <c r="T35" s="529">
        <f t="shared" si="11"/>
        <v>0</v>
      </c>
      <c r="U35" s="529"/>
      <c r="V35" s="529">
        <f t="shared" si="12"/>
        <v>0</v>
      </c>
      <c r="W35" s="529">
        <f t="shared" si="13"/>
        <v>0</v>
      </c>
      <c r="X35" s="529">
        <v>15</v>
      </c>
      <c r="Y35" s="530">
        <f t="shared" si="14"/>
        <v>0</v>
      </c>
      <c r="Z35" s="531">
        <f t="shared" si="15"/>
        <v>0</v>
      </c>
      <c r="AB35" s="533">
        <f t="shared" si="1"/>
        <v>0</v>
      </c>
      <c r="AC35" s="534">
        <f>'PLANILHA GERAL'!$J$122</f>
        <v>6.35</v>
      </c>
      <c r="AD35" s="534">
        <f>'PLANILHA GERAL'!$J$123</f>
        <v>18.53</v>
      </c>
      <c r="AE35" s="534">
        <f>'PLANILHA GERAL'!$J$124</f>
        <v>3.7</v>
      </c>
      <c r="AF35" s="534">
        <f>'PLANILHA GERAL'!$J$125</f>
        <v>18.53</v>
      </c>
      <c r="AG35" s="534">
        <f>'PLANILHA GERAL'!$J$126</f>
        <v>47.61</v>
      </c>
      <c r="AH35" s="534">
        <f>'PLANILHA GERAL'!$J$127</f>
        <v>2.33</v>
      </c>
      <c r="AI35" s="535">
        <f>'PLANILHA GERAL'!$J$128</f>
        <v>1.22</v>
      </c>
      <c r="AJ35" s="535">
        <f>'PLANILHA GERAL'!$J$129</f>
        <v>14.52</v>
      </c>
      <c r="AK35" s="536">
        <f>'PLANILHA GERAL'!$J$132</f>
        <v>238.44</v>
      </c>
      <c r="AL35" s="536">
        <f>'PLANILHA GERAL'!$J$134</f>
        <v>18.53</v>
      </c>
      <c r="AM35" s="534">
        <f>'PLANILHA GERAL'!$J$135</f>
        <v>2.33</v>
      </c>
      <c r="AN35" s="534">
        <f>'PLANILHA GERAL'!$J$136</f>
        <v>1.22</v>
      </c>
      <c r="AO35" s="534">
        <f>'PLANILHA GERAL'!$J$137</f>
        <v>77.989999999999995</v>
      </c>
      <c r="AP35" s="534">
        <f>'PLANILHA GERAL'!$J$138</f>
        <v>18.53</v>
      </c>
      <c r="AQ35" s="534">
        <f>'PLANILHA GERAL'!$J$139</f>
        <v>2.33</v>
      </c>
      <c r="AR35" s="534">
        <f>'PLANILHA GERAL'!$J$140</f>
        <v>1.22</v>
      </c>
      <c r="AS35" s="534">
        <f t="shared" si="16"/>
        <v>0</v>
      </c>
    </row>
    <row r="36" spans="1:45" s="532" customFormat="1" ht="90" hidden="1" customHeight="1">
      <c r="A36" s="526"/>
      <c r="B36" s="527"/>
      <c r="C36" s="528"/>
      <c r="D36" s="529"/>
      <c r="E36" s="529">
        <f t="shared" si="17"/>
        <v>0</v>
      </c>
      <c r="F36" s="529"/>
      <c r="G36" s="529">
        <f t="shared" si="2"/>
        <v>0</v>
      </c>
      <c r="H36" s="529">
        <f t="shared" si="3"/>
        <v>0</v>
      </c>
      <c r="I36" s="529">
        <f t="shared" si="20"/>
        <v>0</v>
      </c>
      <c r="J36" s="529">
        <f t="shared" si="4"/>
        <v>0</v>
      </c>
      <c r="K36" s="529">
        <f t="shared" si="5"/>
        <v>0</v>
      </c>
      <c r="L36" s="529">
        <f t="shared" si="6"/>
        <v>0</v>
      </c>
      <c r="M36" s="529">
        <f t="shared" si="19"/>
        <v>0</v>
      </c>
      <c r="N36" s="529">
        <f t="shared" si="7"/>
        <v>0</v>
      </c>
      <c r="O36" s="529"/>
      <c r="P36" s="529">
        <f t="shared" si="8"/>
        <v>0</v>
      </c>
      <c r="Q36" s="529"/>
      <c r="R36" s="529">
        <f t="shared" si="9"/>
        <v>0</v>
      </c>
      <c r="S36" s="529">
        <f t="shared" si="10"/>
        <v>0</v>
      </c>
      <c r="T36" s="529">
        <f t="shared" si="11"/>
        <v>0</v>
      </c>
      <c r="U36" s="529"/>
      <c r="V36" s="529">
        <f t="shared" si="12"/>
        <v>0</v>
      </c>
      <c r="W36" s="529">
        <f t="shared" si="13"/>
        <v>0</v>
      </c>
      <c r="X36" s="529">
        <v>16</v>
      </c>
      <c r="Y36" s="530">
        <f t="shared" si="14"/>
        <v>0</v>
      </c>
      <c r="Z36" s="531">
        <f t="shared" si="15"/>
        <v>0</v>
      </c>
      <c r="AB36" s="533">
        <f t="shared" si="1"/>
        <v>0</v>
      </c>
      <c r="AC36" s="534">
        <f>'PLANILHA GERAL'!$J$122</f>
        <v>6.35</v>
      </c>
      <c r="AD36" s="534">
        <f>'PLANILHA GERAL'!$J$123</f>
        <v>18.53</v>
      </c>
      <c r="AE36" s="534">
        <f>'PLANILHA GERAL'!$J$124</f>
        <v>3.7</v>
      </c>
      <c r="AF36" s="534">
        <f>'PLANILHA GERAL'!$J$125</f>
        <v>18.53</v>
      </c>
      <c r="AG36" s="534">
        <f>'PLANILHA GERAL'!$J$126</f>
        <v>47.61</v>
      </c>
      <c r="AH36" s="534">
        <f>'PLANILHA GERAL'!$J$127</f>
        <v>2.33</v>
      </c>
      <c r="AI36" s="535">
        <f>'PLANILHA GERAL'!$J$128</f>
        <v>1.22</v>
      </c>
      <c r="AJ36" s="535">
        <f>'PLANILHA GERAL'!$J$129</f>
        <v>14.52</v>
      </c>
      <c r="AK36" s="536">
        <f>'PLANILHA GERAL'!$J$132</f>
        <v>238.44</v>
      </c>
      <c r="AL36" s="536">
        <f>'PLANILHA GERAL'!$J$134</f>
        <v>18.53</v>
      </c>
      <c r="AM36" s="534">
        <f>'PLANILHA GERAL'!$J$135</f>
        <v>2.33</v>
      </c>
      <c r="AN36" s="534">
        <f>'PLANILHA GERAL'!$J$136</f>
        <v>1.22</v>
      </c>
      <c r="AO36" s="534">
        <f>'PLANILHA GERAL'!$J$137</f>
        <v>77.989999999999995</v>
      </c>
      <c r="AP36" s="534">
        <f>'PLANILHA GERAL'!$J$138</f>
        <v>18.53</v>
      </c>
      <c r="AQ36" s="534">
        <f>'PLANILHA GERAL'!$J$139</f>
        <v>2.33</v>
      </c>
      <c r="AR36" s="534">
        <f>'PLANILHA GERAL'!$J$140</f>
        <v>1.22</v>
      </c>
      <c r="AS36" s="534">
        <f t="shared" si="16"/>
        <v>0</v>
      </c>
    </row>
    <row r="37" spans="1:45" s="532" customFormat="1" ht="90" hidden="1" customHeight="1">
      <c r="A37" s="526"/>
      <c r="B37" s="527"/>
      <c r="C37" s="528"/>
      <c r="D37" s="529"/>
      <c r="E37" s="529">
        <f t="shared" ref="E37:E54" si="21">C37*(D37+1)*0</f>
        <v>0</v>
      </c>
      <c r="F37" s="529"/>
      <c r="G37" s="529">
        <f t="shared" ref="G37:G54" si="22">E37*F37</f>
        <v>0</v>
      </c>
      <c r="H37" s="529">
        <f t="shared" ref="H37:H54" si="23">G37*1.3*$H$17</f>
        <v>0</v>
      </c>
      <c r="I37" s="529">
        <f t="shared" ref="I37:I54" si="24">E37*F37</f>
        <v>0</v>
      </c>
      <c r="J37" s="529">
        <f t="shared" ref="J37:J54" si="25">IF(F37-(O37+U37)&lt;0,,F37-(O37+U37))</f>
        <v>0</v>
      </c>
      <c r="K37" s="529">
        <f t="shared" ref="K37:K54" si="26">J37*E37</f>
        <v>0</v>
      </c>
      <c r="L37" s="529">
        <f t="shared" ref="L37:L54" si="27">K37*1.3*$L$17</f>
        <v>0</v>
      </c>
      <c r="M37" s="529">
        <f t="shared" si="19"/>
        <v>0</v>
      </c>
      <c r="N37" s="529">
        <f t="shared" ref="N37:N54" si="28">K37</f>
        <v>0</v>
      </c>
      <c r="O37" s="529"/>
      <c r="P37" s="529">
        <f t="shared" ref="P37:P54" si="29">E37*O37</f>
        <v>0</v>
      </c>
      <c r="Q37" s="529"/>
      <c r="R37" s="529">
        <f t="shared" ref="R37:R54" si="30">P37</f>
        <v>0</v>
      </c>
      <c r="S37" s="529">
        <f t="shared" ref="S37:S54" si="31">P37*1.3*$S$17</f>
        <v>0</v>
      </c>
      <c r="T37" s="529">
        <f t="shared" ref="T37:T54" si="32">P37*1.3*$T$17</f>
        <v>0</v>
      </c>
      <c r="U37" s="529"/>
      <c r="V37" s="529">
        <f t="shared" ref="V37:V54" si="33">E37*U37</f>
        <v>0</v>
      </c>
      <c r="W37" s="529">
        <f t="shared" ref="W37:W54" si="34">V37</f>
        <v>0</v>
      </c>
      <c r="X37" s="529">
        <v>16</v>
      </c>
      <c r="Y37" s="530">
        <f t="shared" ref="Y37:Y54" si="35">V37*1.3*$Y$17</f>
        <v>0</v>
      </c>
      <c r="Z37" s="531">
        <f t="shared" ref="Z37:Z54" si="36">V37*1.3*$Z$17</f>
        <v>0</v>
      </c>
      <c r="AB37" s="533">
        <f t="shared" ref="AB37:AB54" si="37">A37</f>
        <v>0</v>
      </c>
      <c r="AC37" s="534">
        <f>'PLANILHA GERAL'!$J$122</f>
        <v>6.35</v>
      </c>
      <c r="AD37" s="534">
        <f>'PLANILHA GERAL'!$J$123</f>
        <v>18.53</v>
      </c>
      <c r="AE37" s="534">
        <f>'PLANILHA GERAL'!$J$124</f>
        <v>3.7</v>
      </c>
      <c r="AF37" s="534">
        <f>'PLANILHA GERAL'!$J$125</f>
        <v>18.53</v>
      </c>
      <c r="AG37" s="534">
        <f>'PLANILHA GERAL'!$J$126</f>
        <v>47.61</v>
      </c>
      <c r="AH37" s="534">
        <f>'PLANILHA GERAL'!$J$127</f>
        <v>2.33</v>
      </c>
      <c r="AI37" s="535">
        <f>'PLANILHA GERAL'!$J$128</f>
        <v>1.22</v>
      </c>
      <c r="AJ37" s="535">
        <f>'PLANILHA GERAL'!$J$129</f>
        <v>14.52</v>
      </c>
      <c r="AK37" s="536">
        <f>'PLANILHA GERAL'!$J$132</f>
        <v>238.44</v>
      </c>
      <c r="AL37" s="536">
        <f>'PLANILHA GERAL'!$J$134</f>
        <v>18.53</v>
      </c>
      <c r="AM37" s="534">
        <f>'PLANILHA GERAL'!$J$135</f>
        <v>2.33</v>
      </c>
      <c r="AN37" s="534">
        <f>'PLANILHA GERAL'!$J$136</f>
        <v>1.22</v>
      </c>
      <c r="AO37" s="534">
        <f>'PLANILHA GERAL'!$J$137</f>
        <v>77.989999999999995</v>
      </c>
      <c r="AP37" s="534">
        <f>'PLANILHA GERAL'!$J$138</f>
        <v>18.53</v>
      </c>
      <c r="AQ37" s="534">
        <f>'PLANILHA GERAL'!$J$139</f>
        <v>2.33</v>
      </c>
      <c r="AR37" s="534">
        <f>'PLANILHA GERAL'!$J$140</f>
        <v>1.22</v>
      </c>
      <c r="AS37" s="534">
        <f t="shared" ref="AS37:AS54" si="38">E37*AC37+G37*AD37+H37*AE37+I37*AF37+K37*AG37+L37*AH37+M37*AI37+N37*AJ37+P37*AK37+R37*AL37+S37*AM37+T37*AN37+V37*AO37+W37*AP37+Y37*AQ37+Z37*AR37</f>
        <v>0</v>
      </c>
    </row>
    <row r="38" spans="1:45" s="532" customFormat="1" ht="90" hidden="1" customHeight="1">
      <c r="A38" s="526"/>
      <c r="B38" s="527"/>
      <c r="C38" s="528"/>
      <c r="D38" s="529"/>
      <c r="E38" s="529">
        <f t="shared" si="21"/>
        <v>0</v>
      </c>
      <c r="F38" s="529"/>
      <c r="G38" s="529">
        <f t="shared" si="22"/>
        <v>0</v>
      </c>
      <c r="H38" s="529">
        <f t="shared" si="23"/>
        <v>0</v>
      </c>
      <c r="I38" s="529">
        <f t="shared" si="24"/>
        <v>0</v>
      </c>
      <c r="J38" s="529">
        <f t="shared" si="25"/>
        <v>0</v>
      </c>
      <c r="K38" s="529">
        <f t="shared" si="26"/>
        <v>0</v>
      </c>
      <c r="L38" s="529">
        <f t="shared" si="27"/>
        <v>0</v>
      </c>
      <c r="M38" s="529">
        <f t="shared" si="19"/>
        <v>0</v>
      </c>
      <c r="N38" s="529">
        <f t="shared" si="28"/>
        <v>0</v>
      </c>
      <c r="O38" s="529"/>
      <c r="P38" s="529">
        <f t="shared" si="29"/>
        <v>0</v>
      </c>
      <c r="Q38" s="529"/>
      <c r="R38" s="529">
        <f t="shared" si="30"/>
        <v>0</v>
      </c>
      <c r="S38" s="529">
        <f t="shared" si="31"/>
        <v>0</v>
      </c>
      <c r="T38" s="529">
        <f t="shared" si="32"/>
        <v>0</v>
      </c>
      <c r="U38" s="529"/>
      <c r="V38" s="529">
        <f t="shared" si="33"/>
        <v>0</v>
      </c>
      <c r="W38" s="529">
        <f t="shared" si="34"/>
        <v>0</v>
      </c>
      <c r="X38" s="529">
        <v>16</v>
      </c>
      <c r="Y38" s="530">
        <f t="shared" si="35"/>
        <v>0</v>
      </c>
      <c r="Z38" s="531">
        <f t="shared" si="36"/>
        <v>0</v>
      </c>
      <c r="AB38" s="533">
        <f t="shared" si="37"/>
        <v>0</v>
      </c>
      <c r="AC38" s="534">
        <f>'PLANILHA GERAL'!$J$122</f>
        <v>6.35</v>
      </c>
      <c r="AD38" s="534">
        <f>'PLANILHA GERAL'!$J$123</f>
        <v>18.53</v>
      </c>
      <c r="AE38" s="534">
        <f>'PLANILHA GERAL'!$J$124</f>
        <v>3.7</v>
      </c>
      <c r="AF38" s="534">
        <f>'PLANILHA GERAL'!$J$125</f>
        <v>18.53</v>
      </c>
      <c r="AG38" s="534">
        <f>'PLANILHA GERAL'!$J$126</f>
        <v>47.61</v>
      </c>
      <c r="AH38" s="534">
        <f>'PLANILHA GERAL'!$J$127</f>
        <v>2.33</v>
      </c>
      <c r="AI38" s="535">
        <f>'PLANILHA GERAL'!$J$128</f>
        <v>1.22</v>
      </c>
      <c r="AJ38" s="535">
        <f>'PLANILHA GERAL'!$J$129</f>
        <v>14.52</v>
      </c>
      <c r="AK38" s="536">
        <f>'PLANILHA GERAL'!$J$132</f>
        <v>238.44</v>
      </c>
      <c r="AL38" s="536">
        <f>'PLANILHA GERAL'!$J$134</f>
        <v>18.53</v>
      </c>
      <c r="AM38" s="534">
        <f>'PLANILHA GERAL'!$J$135</f>
        <v>2.33</v>
      </c>
      <c r="AN38" s="534">
        <f>'PLANILHA GERAL'!$J$136</f>
        <v>1.22</v>
      </c>
      <c r="AO38" s="534">
        <f>'PLANILHA GERAL'!$J$137</f>
        <v>77.989999999999995</v>
      </c>
      <c r="AP38" s="534">
        <f>'PLANILHA GERAL'!$J$138</f>
        <v>18.53</v>
      </c>
      <c r="AQ38" s="534">
        <f>'PLANILHA GERAL'!$J$139</f>
        <v>2.33</v>
      </c>
      <c r="AR38" s="534">
        <f>'PLANILHA GERAL'!$J$140</f>
        <v>1.22</v>
      </c>
      <c r="AS38" s="534">
        <f t="shared" si="38"/>
        <v>0</v>
      </c>
    </row>
    <row r="39" spans="1:45" s="532" customFormat="1" ht="90" hidden="1" customHeight="1">
      <c r="A39" s="526"/>
      <c r="B39" s="527"/>
      <c r="C39" s="528"/>
      <c r="D39" s="529"/>
      <c r="E39" s="529">
        <f t="shared" si="21"/>
        <v>0</v>
      </c>
      <c r="F39" s="529"/>
      <c r="G39" s="529">
        <f t="shared" si="22"/>
        <v>0</v>
      </c>
      <c r="H39" s="529">
        <f t="shared" si="23"/>
        <v>0</v>
      </c>
      <c r="I39" s="529">
        <f t="shared" si="24"/>
        <v>0</v>
      </c>
      <c r="J39" s="529">
        <f t="shared" si="25"/>
        <v>0</v>
      </c>
      <c r="K39" s="529">
        <f t="shared" si="26"/>
        <v>0</v>
      </c>
      <c r="L39" s="529">
        <f t="shared" si="27"/>
        <v>0</v>
      </c>
      <c r="M39" s="529">
        <f t="shared" si="19"/>
        <v>0</v>
      </c>
      <c r="N39" s="529">
        <f t="shared" si="28"/>
        <v>0</v>
      </c>
      <c r="O39" s="529"/>
      <c r="P39" s="529">
        <f t="shared" si="29"/>
        <v>0</v>
      </c>
      <c r="Q39" s="529"/>
      <c r="R39" s="529">
        <f t="shared" si="30"/>
        <v>0</v>
      </c>
      <c r="S39" s="529">
        <f t="shared" si="31"/>
        <v>0</v>
      </c>
      <c r="T39" s="529">
        <f t="shared" si="32"/>
        <v>0</v>
      </c>
      <c r="U39" s="529"/>
      <c r="V39" s="529">
        <f t="shared" si="33"/>
        <v>0</v>
      </c>
      <c r="W39" s="529">
        <f t="shared" si="34"/>
        <v>0</v>
      </c>
      <c r="X39" s="529">
        <v>16</v>
      </c>
      <c r="Y39" s="530">
        <f t="shared" si="35"/>
        <v>0</v>
      </c>
      <c r="Z39" s="531">
        <f t="shared" si="36"/>
        <v>0</v>
      </c>
      <c r="AB39" s="533">
        <f t="shared" si="37"/>
        <v>0</v>
      </c>
      <c r="AC39" s="534">
        <f>'PLANILHA GERAL'!$J$122</f>
        <v>6.35</v>
      </c>
      <c r="AD39" s="534">
        <f>'PLANILHA GERAL'!$J$123</f>
        <v>18.53</v>
      </c>
      <c r="AE39" s="534">
        <f>'PLANILHA GERAL'!$J$124</f>
        <v>3.7</v>
      </c>
      <c r="AF39" s="534">
        <f>'PLANILHA GERAL'!$J$125</f>
        <v>18.53</v>
      </c>
      <c r="AG39" s="534">
        <f>'PLANILHA GERAL'!$J$126</f>
        <v>47.61</v>
      </c>
      <c r="AH39" s="534">
        <f>'PLANILHA GERAL'!$J$127</f>
        <v>2.33</v>
      </c>
      <c r="AI39" s="535">
        <f>'PLANILHA GERAL'!$J$128</f>
        <v>1.22</v>
      </c>
      <c r="AJ39" s="535">
        <f>'PLANILHA GERAL'!$J$129</f>
        <v>14.52</v>
      </c>
      <c r="AK39" s="536">
        <f>'PLANILHA GERAL'!$J$132</f>
        <v>238.44</v>
      </c>
      <c r="AL39" s="536">
        <f>'PLANILHA GERAL'!$J$134</f>
        <v>18.53</v>
      </c>
      <c r="AM39" s="534">
        <f>'PLANILHA GERAL'!$J$135</f>
        <v>2.33</v>
      </c>
      <c r="AN39" s="534">
        <f>'PLANILHA GERAL'!$J$136</f>
        <v>1.22</v>
      </c>
      <c r="AO39" s="534">
        <f>'PLANILHA GERAL'!$J$137</f>
        <v>77.989999999999995</v>
      </c>
      <c r="AP39" s="534">
        <f>'PLANILHA GERAL'!$J$138</f>
        <v>18.53</v>
      </c>
      <c r="AQ39" s="534">
        <f>'PLANILHA GERAL'!$J$139</f>
        <v>2.33</v>
      </c>
      <c r="AR39" s="534">
        <f>'PLANILHA GERAL'!$J$140</f>
        <v>1.22</v>
      </c>
      <c r="AS39" s="534">
        <f t="shared" si="38"/>
        <v>0</v>
      </c>
    </row>
    <row r="40" spans="1:45" s="532" customFormat="1" ht="90" hidden="1" customHeight="1">
      <c r="A40" s="526"/>
      <c r="B40" s="527"/>
      <c r="C40" s="528"/>
      <c r="D40" s="529"/>
      <c r="E40" s="529">
        <f t="shared" si="21"/>
        <v>0</v>
      </c>
      <c r="F40" s="529"/>
      <c r="G40" s="529">
        <f t="shared" si="22"/>
        <v>0</v>
      </c>
      <c r="H40" s="529">
        <f t="shared" si="23"/>
        <v>0</v>
      </c>
      <c r="I40" s="529">
        <f t="shared" si="24"/>
        <v>0</v>
      </c>
      <c r="J40" s="529">
        <f t="shared" si="25"/>
        <v>0</v>
      </c>
      <c r="K40" s="529">
        <f t="shared" si="26"/>
        <v>0</v>
      </c>
      <c r="L40" s="529">
        <f t="shared" si="27"/>
        <v>0</v>
      </c>
      <c r="M40" s="529">
        <f t="shared" si="19"/>
        <v>0</v>
      </c>
      <c r="N40" s="529">
        <f t="shared" si="28"/>
        <v>0</v>
      </c>
      <c r="O40" s="529"/>
      <c r="P40" s="529">
        <f t="shared" si="29"/>
        <v>0</v>
      </c>
      <c r="Q40" s="529"/>
      <c r="R40" s="529">
        <f t="shared" si="30"/>
        <v>0</v>
      </c>
      <c r="S40" s="529">
        <f t="shared" si="31"/>
        <v>0</v>
      </c>
      <c r="T40" s="529">
        <f t="shared" si="32"/>
        <v>0</v>
      </c>
      <c r="U40" s="529"/>
      <c r="V40" s="529">
        <f t="shared" si="33"/>
        <v>0</v>
      </c>
      <c r="W40" s="529">
        <f t="shared" si="34"/>
        <v>0</v>
      </c>
      <c r="X40" s="529">
        <v>16</v>
      </c>
      <c r="Y40" s="530">
        <f t="shared" si="35"/>
        <v>0</v>
      </c>
      <c r="Z40" s="531">
        <f t="shared" si="36"/>
        <v>0</v>
      </c>
      <c r="AB40" s="533">
        <f t="shared" si="37"/>
        <v>0</v>
      </c>
      <c r="AC40" s="534">
        <f>'PLANILHA GERAL'!$J$122</f>
        <v>6.35</v>
      </c>
      <c r="AD40" s="534">
        <f>'PLANILHA GERAL'!$J$123</f>
        <v>18.53</v>
      </c>
      <c r="AE40" s="534">
        <f>'PLANILHA GERAL'!$J$124</f>
        <v>3.7</v>
      </c>
      <c r="AF40" s="534">
        <f>'PLANILHA GERAL'!$J$125</f>
        <v>18.53</v>
      </c>
      <c r="AG40" s="534">
        <f>'PLANILHA GERAL'!$J$126</f>
        <v>47.61</v>
      </c>
      <c r="AH40" s="534">
        <f>'PLANILHA GERAL'!$J$127</f>
        <v>2.33</v>
      </c>
      <c r="AI40" s="535">
        <f>'PLANILHA GERAL'!$J$128</f>
        <v>1.22</v>
      </c>
      <c r="AJ40" s="535">
        <f>'PLANILHA GERAL'!$J$129</f>
        <v>14.52</v>
      </c>
      <c r="AK40" s="536">
        <f>'PLANILHA GERAL'!$J$132</f>
        <v>238.44</v>
      </c>
      <c r="AL40" s="536">
        <f>'PLANILHA GERAL'!$J$134</f>
        <v>18.53</v>
      </c>
      <c r="AM40" s="534">
        <f>'PLANILHA GERAL'!$J$135</f>
        <v>2.33</v>
      </c>
      <c r="AN40" s="534">
        <f>'PLANILHA GERAL'!$J$136</f>
        <v>1.22</v>
      </c>
      <c r="AO40" s="534">
        <f>'PLANILHA GERAL'!$J$137</f>
        <v>77.989999999999995</v>
      </c>
      <c r="AP40" s="534">
        <f>'PLANILHA GERAL'!$J$138</f>
        <v>18.53</v>
      </c>
      <c r="AQ40" s="534">
        <f>'PLANILHA GERAL'!$J$139</f>
        <v>2.33</v>
      </c>
      <c r="AR40" s="534">
        <f>'PLANILHA GERAL'!$J$140</f>
        <v>1.22</v>
      </c>
      <c r="AS40" s="534">
        <f t="shared" si="38"/>
        <v>0</v>
      </c>
    </row>
    <row r="41" spans="1:45" s="532" customFormat="1" ht="90" hidden="1" customHeight="1">
      <c r="A41" s="526"/>
      <c r="B41" s="527"/>
      <c r="C41" s="528"/>
      <c r="D41" s="529"/>
      <c r="E41" s="529">
        <f>C41*(D41+1)</f>
        <v>0</v>
      </c>
      <c r="F41" s="529">
        <v>0.3</v>
      </c>
      <c r="G41" s="529">
        <f t="shared" si="22"/>
        <v>0</v>
      </c>
      <c r="H41" s="529">
        <f t="shared" si="23"/>
        <v>0</v>
      </c>
      <c r="I41" s="529">
        <f t="shared" si="24"/>
        <v>0</v>
      </c>
      <c r="J41" s="529">
        <f t="shared" si="25"/>
        <v>0.1</v>
      </c>
      <c r="K41" s="529">
        <f t="shared" si="26"/>
        <v>0</v>
      </c>
      <c r="L41" s="529">
        <f t="shared" si="27"/>
        <v>0</v>
      </c>
      <c r="M41" s="529">
        <f t="shared" si="19"/>
        <v>0</v>
      </c>
      <c r="N41" s="529">
        <f t="shared" si="28"/>
        <v>0</v>
      </c>
      <c r="O41" s="529">
        <v>0.1</v>
      </c>
      <c r="P41" s="529">
        <f t="shared" si="29"/>
        <v>0</v>
      </c>
      <c r="Q41" s="529"/>
      <c r="R41" s="529">
        <f t="shared" si="30"/>
        <v>0</v>
      </c>
      <c r="S41" s="529">
        <f t="shared" si="31"/>
        <v>0</v>
      </c>
      <c r="T41" s="529">
        <f t="shared" si="32"/>
        <v>0</v>
      </c>
      <c r="U41" s="529">
        <v>0.1</v>
      </c>
      <c r="V41" s="529">
        <f t="shared" si="33"/>
        <v>0</v>
      </c>
      <c r="W41" s="529">
        <f t="shared" si="34"/>
        <v>0</v>
      </c>
      <c r="X41" s="529">
        <v>16</v>
      </c>
      <c r="Y41" s="530">
        <f t="shared" si="35"/>
        <v>0</v>
      </c>
      <c r="Z41" s="531">
        <f t="shared" si="36"/>
        <v>0</v>
      </c>
      <c r="AB41" s="533">
        <f t="shared" si="37"/>
        <v>0</v>
      </c>
      <c r="AC41" s="534">
        <f>'PLANILHA GERAL'!$J$122</f>
        <v>6.35</v>
      </c>
      <c r="AD41" s="534">
        <f>'PLANILHA GERAL'!$J$123</f>
        <v>18.53</v>
      </c>
      <c r="AE41" s="534">
        <f>'PLANILHA GERAL'!$J$124</f>
        <v>3.7</v>
      </c>
      <c r="AF41" s="534">
        <f>'PLANILHA GERAL'!$J$125</f>
        <v>18.53</v>
      </c>
      <c r="AG41" s="534">
        <f>'PLANILHA GERAL'!$J$126</f>
        <v>47.61</v>
      </c>
      <c r="AH41" s="534">
        <f>'PLANILHA GERAL'!$J$127</f>
        <v>2.33</v>
      </c>
      <c r="AI41" s="535">
        <f>'PLANILHA GERAL'!$J$128</f>
        <v>1.22</v>
      </c>
      <c r="AJ41" s="535">
        <f>'PLANILHA GERAL'!$J$129</f>
        <v>14.52</v>
      </c>
      <c r="AK41" s="536">
        <f>'PLANILHA GERAL'!$J$132</f>
        <v>238.44</v>
      </c>
      <c r="AL41" s="536">
        <f>'PLANILHA GERAL'!$J$134</f>
        <v>18.53</v>
      </c>
      <c r="AM41" s="534">
        <f>'PLANILHA GERAL'!$J$135</f>
        <v>2.33</v>
      </c>
      <c r="AN41" s="534">
        <f>'PLANILHA GERAL'!$J$136</f>
        <v>1.22</v>
      </c>
      <c r="AO41" s="534">
        <f>'PLANILHA GERAL'!$J$137</f>
        <v>77.989999999999995</v>
      </c>
      <c r="AP41" s="534">
        <f>'PLANILHA GERAL'!$J$138</f>
        <v>18.53</v>
      </c>
      <c r="AQ41" s="534">
        <f>'PLANILHA GERAL'!$J$139</f>
        <v>2.33</v>
      </c>
      <c r="AR41" s="534">
        <f>'PLANILHA GERAL'!$J$140</f>
        <v>1.22</v>
      </c>
      <c r="AS41" s="534">
        <f t="shared" si="38"/>
        <v>0</v>
      </c>
    </row>
    <row r="42" spans="1:45" s="532" customFormat="1" ht="90" hidden="1" customHeight="1">
      <c r="A42" s="526"/>
      <c r="B42" s="527"/>
      <c r="C42" s="528"/>
      <c r="D42" s="529"/>
      <c r="E42" s="529">
        <f t="shared" si="21"/>
        <v>0</v>
      </c>
      <c r="F42" s="529"/>
      <c r="G42" s="529">
        <f t="shared" si="22"/>
        <v>0</v>
      </c>
      <c r="H42" s="529">
        <f t="shared" si="23"/>
        <v>0</v>
      </c>
      <c r="I42" s="529">
        <f t="shared" si="24"/>
        <v>0</v>
      </c>
      <c r="J42" s="529">
        <f t="shared" si="25"/>
        <v>0</v>
      </c>
      <c r="K42" s="529">
        <f t="shared" si="26"/>
        <v>0</v>
      </c>
      <c r="L42" s="529">
        <f t="shared" si="27"/>
        <v>0</v>
      </c>
      <c r="M42" s="529">
        <f t="shared" si="19"/>
        <v>0</v>
      </c>
      <c r="N42" s="529">
        <f t="shared" si="28"/>
        <v>0</v>
      </c>
      <c r="O42" s="529"/>
      <c r="P42" s="529">
        <f t="shared" si="29"/>
        <v>0</v>
      </c>
      <c r="Q42" s="529"/>
      <c r="R42" s="529">
        <f t="shared" si="30"/>
        <v>0</v>
      </c>
      <c r="S42" s="529">
        <f t="shared" si="31"/>
        <v>0</v>
      </c>
      <c r="T42" s="529">
        <f t="shared" si="32"/>
        <v>0</v>
      </c>
      <c r="U42" s="529"/>
      <c r="V42" s="529">
        <f t="shared" si="33"/>
        <v>0</v>
      </c>
      <c r="W42" s="529">
        <f t="shared" si="34"/>
        <v>0</v>
      </c>
      <c r="X42" s="529">
        <v>16</v>
      </c>
      <c r="Y42" s="530">
        <f t="shared" si="35"/>
        <v>0</v>
      </c>
      <c r="Z42" s="531">
        <f t="shared" si="36"/>
        <v>0</v>
      </c>
      <c r="AB42" s="533">
        <f t="shared" si="37"/>
        <v>0</v>
      </c>
      <c r="AC42" s="534">
        <f>'PLANILHA GERAL'!$J$122</f>
        <v>6.35</v>
      </c>
      <c r="AD42" s="534">
        <f>'PLANILHA GERAL'!$J$123</f>
        <v>18.53</v>
      </c>
      <c r="AE42" s="534">
        <f>'PLANILHA GERAL'!$J$124</f>
        <v>3.7</v>
      </c>
      <c r="AF42" s="534">
        <f>'PLANILHA GERAL'!$J$125</f>
        <v>18.53</v>
      </c>
      <c r="AG42" s="534">
        <f>'PLANILHA GERAL'!$J$126</f>
        <v>47.61</v>
      </c>
      <c r="AH42" s="534">
        <f>'PLANILHA GERAL'!$J$127</f>
        <v>2.33</v>
      </c>
      <c r="AI42" s="535">
        <f>'PLANILHA GERAL'!$J$128</f>
        <v>1.22</v>
      </c>
      <c r="AJ42" s="535">
        <f>'PLANILHA GERAL'!$J$129</f>
        <v>14.52</v>
      </c>
      <c r="AK42" s="536">
        <f>'PLANILHA GERAL'!$J$132</f>
        <v>238.44</v>
      </c>
      <c r="AL42" s="536">
        <f>'PLANILHA GERAL'!$J$134</f>
        <v>18.53</v>
      </c>
      <c r="AM42" s="534">
        <f>'PLANILHA GERAL'!$J$135</f>
        <v>2.33</v>
      </c>
      <c r="AN42" s="534">
        <f>'PLANILHA GERAL'!$J$136</f>
        <v>1.22</v>
      </c>
      <c r="AO42" s="534">
        <f>'PLANILHA GERAL'!$J$137</f>
        <v>77.989999999999995</v>
      </c>
      <c r="AP42" s="534">
        <f>'PLANILHA GERAL'!$J$138</f>
        <v>18.53</v>
      </c>
      <c r="AQ42" s="534">
        <f>'PLANILHA GERAL'!$J$139</f>
        <v>2.33</v>
      </c>
      <c r="AR42" s="534">
        <f>'PLANILHA GERAL'!$J$140</f>
        <v>1.22</v>
      </c>
      <c r="AS42" s="534">
        <f t="shared" si="38"/>
        <v>0</v>
      </c>
    </row>
    <row r="43" spans="1:45" s="532" customFormat="1" ht="90" hidden="1" customHeight="1">
      <c r="A43" s="526"/>
      <c r="B43" s="527"/>
      <c r="C43" s="528"/>
      <c r="D43" s="529"/>
      <c r="E43" s="529">
        <f t="shared" si="21"/>
        <v>0</v>
      </c>
      <c r="F43" s="529"/>
      <c r="G43" s="529">
        <f t="shared" si="22"/>
        <v>0</v>
      </c>
      <c r="H43" s="529">
        <f t="shared" si="23"/>
        <v>0</v>
      </c>
      <c r="I43" s="529">
        <f t="shared" si="24"/>
        <v>0</v>
      </c>
      <c r="J43" s="529">
        <f t="shared" si="25"/>
        <v>0</v>
      </c>
      <c r="K43" s="529">
        <f t="shared" si="26"/>
        <v>0</v>
      </c>
      <c r="L43" s="529">
        <f t="shared" si="27"/>
        <v>0</v>
      </c>
      <c r="M43" s="529">
        <f t="shared" si="19"/>
        <v>0</v>
      </c>
      <c r="N43" s="529">
        <f t="shared" si="28"/>
        <v>0</v>
      </c>
      <c r="O43" s="529"/>
      <c r="P43" s="529">
        <f t="shared" si="29"/>
        <v>0</v>
      </c>
      <c r="Q43" s="529"/>
      <c r="R43" s="529">
        <f t="shared" si="30"/>
        <v>0</v>
      </c>
      <c r="S43" s="529">
        <f t="shared" si="31"/>
        <v>0</v>
      </c>
      <c r="T43" s="529">
        <f t="shared" si="32"/>
        <v>0</v>
      </c>
      <c r="U43" s="529"/>
      <c r="V43" s="529">
        <f t="shared" si="33"/>
        <v>0</v>
      </c>
      <c r="W43" s="529">
        <f t="shared" si="34"/>
        <v>0</v>
      </c>
      <c r="X43" s="529">
        <v>16</v>
      </c>
      <c r="Y43" s="530">
        <f t="shared" si="35"/>
        <v>0</v>
      </c>
      <c r="Z43" s="531">
        <f t="shared" si="36"/>
        <v>0</v>
      </c>
      <c r="AB43" s="533">
        <f t="shared" si="37"/>
        <v>0</v>
      </c>
      <c r="AC43" s="534">
        <f>'PLANILHA GERAL'!$J$122</f>
        <v>6.35</v>
      </c>
      <c r="AD43" s="534">
        <f>'PLANILHA GERAL'!$J$123</f>
        <v>18.53</v>
      </c>
      <c r="AE43" s="534">
        <f>'PLANILHA GERAL'!$J$124</f>
        <v>3.7</v>
      </c>
      <c r="AF43" s="534">
        <f>'PLANILHA GERAL'!$J$125</f>
        <v>18.53</v>
      </c>
      <c r="AG43" s="534">
        <f>'PLANILHA GERAL'!$J$126</f>
        <v>47.61</v>
      </c>
      <c r="AH43" s="534">
        <f>'PLANILHA GERAL'!$J$127</f>
        <v>2.33</v>
      </c>
      <c r="AI43" s="535">
        <f>'PLANILHA GERAL'!$J$128</f>
        <v>1.22</v>
      </c>
      <c r="AJ43" s="535">
        <f>'PLANILHA GERAL'!$J$129</f>
        <v>14.52</v>
      </c>
      <c r="AK43" s="536">
        <f>'PLANILHA GERAL'!$J$132</f>
        <v>238.44</v>
      </c>
      <c r="AL43" s="536">
        <f>'PLANILHA GERAL'!$J$134</f>
        <v>18.53</v>
      </c>
      <c r="AM43" s="534">
        <f>'PLANILHA GERAL'!$J$135</f>
        <v>2.33</v>
      </c>
      <c r="AN43" s="534">
        <f>'PLANILHA GERAL'!$J$136</f>
        <v>1.22</v>
      </c>
      <c r="AO43" s="534">
        <f>'PLANILHA GERAL'!$J$137</f>
        <v>77.989999999999995</v>
      </c>
      <c r="AP43" s="534">
        <f>'PLANILHA GERAL'!$J$138</f>
        <v>18.53</v>
      </c>
      <c r="AQ43" s="534">
        <f>'PLANILHA GERAL'!$J$139</f>
        <v>2.33</v>
      </c>
      <c r="AR43" s="534">
        <f>'PLANILHA GERAL'!$J$140</f>
        <v>1.22</v>
      </c>
      <c r="AS43" s="534">
        <f t="shared" si="38"/>
        <v>0</v>
      </c>
    </row>
    <row r="44" spans="1:45" s="532" customFormat="1" ht="90" hidden="1" customHeight="1">
      <c r="A44" s="526"/>
      <c r="B44" s="527"/>
      <c r="C44" s="528"/>
      <c r="D44" s="529"/>
      <c r="E44" s="529">
        <f t="shared" si="21"/>
        <v>0</v>
      </c>
      <c r="F44" s="529"/>
      <c r="G44" s="529">
        <f t="shared" si="22"/>
        <v>0</v>
      </c>
      <c r="H44" s="529">
        <f t="shared" si="23"/>
        <v>0</v>
      </c>
      <c r="I44" s="529">
        <f t="shared" si="24"/>
        <v>0</v>
      </c>
      <c r="J44" s="529">
        <f t="shared" si="25"/>
        <v>0</v>
      </c>
      <c r="K44" s="529">
        <f t="shared" si="26"/>
        <v>0</v>
      </c>
      <c r="L44" s="529">
        <f t="shared" si="27"/>
        <v>0</v>
      </c>
      <c r="M44" s="529">
        <f t="shared" si="19"/>
        <v>0</v>
      </c>
      <c r="N44" s="529">
        <f t="shared" si="28"/>
        <v>0</v>
      </c>
      <c r="O44" s="529"/>
      <c r="P44" s="529">
        <f t="shared" si="29"/>
        <v>0</v>
      </c>
      <c r="Q44" s="529"/>
      <c r="R44" s="529">
        <f t="shared" si="30"/>
        <v>0</v>
      </c>
      <c r="S44" s="529">
        <f t="shared" si="31"/>
        <v>0</v>
      </c>
      <c r="T44" s="529">
        <f t="shared" si="32"/>
        <v>0</v>
      </c>
      <c r="U44" s="529"/>
      <c r="V44" s="529">
        <f t="shared" si="33"/>
        <v>0</v>
      </c>
      <c r="W44" s="529">
        <f t="shared" si="34"/>
        <v>0</v>
      </c>
      <c r="X44" s="529">
        <v>16</v>
      </c>
      <c r="Y44" s="530">
        <f t="shared" si="35"/>
        <v>0</v>
      </c>
      <c r="Z44" s="531">
        <f t="shared" si="36"/>
        <v>0</v>
      </c>
      <c r="AB44" s="533">
        <f t="shared" si="37"/>
        <v>0</v>
      </c>
      <c r="AC44" s="534">
        <f>'PLANILHA GERAL'!$J$122</f>
        <v>6.35</v>
      </c>
      <c r="AD44" s="534">
        <f>'PLANILHA GERAL'!$J$123</f>
        <v>18.53</v>
      </c>
      <c r="AE44" s="534">
        <f>'PLANILHA GERAL'!$J$124</f>
        <v>3.7</v>
      </c>
      <c r="AF44" s="534">
        <f>'PLANILHA GERAL'!$J$125</f>
        <v>18.53</v>
      </c>
      <c r="AG44" s="534">
        <f>'PLANILHA GERAL'!$J$126</f>
        <v>47.61</v>
      </c>
      <c r="AH44" s="534">
        <f>'PLANILHA GERAL'!$J$127</f>
        <v>2.33</v>
      </c>
      <c r="AI44" s="535">
        <f>'PLANILHA GERAL'!$J$128</f>
        <v>1.22</v>
      </c>
      <c r="AJ44" s="535">
        <f>'PLANILHA GERAL'!$J$129</f>
        <v>14.52</v>
      </c>
      <c r="AK44" s="536">
        <f>'PLANILHA GERAL'!$J$132</f>
        <v>238.44</v>
      </c>
      <c r="AL44" s="536">
        <f>'PLANILHA GERAL'!$J$134</f>
        <v>18.53</v>
      </c>
      <c r="AM44" s="534">
        <f>'PLANILHA GERAL'!$J$135</f>
        <v>2.33</v>
      </c>
      <c r="AN44" s="534">
        <f>'PLANILHA GERAL'!$J$136</f>
        <v>1.22</v>
      </c>
      <c r="AO44" s="534">
        <f>'PLANILHA GERAL'!$J$137</f>
        <v>77.989999999999995</v>
      </c>
      <c r="AP44" s="534">
        <f>'PLANILHA GERAL'!$J$138</f>
        <v>18.53</v>
      </c>
      <c r="AQ44" s="534">
        <f>'PLANILHA GERAL'!$J$139</f>
        <v>2.33</v>
      </c>
      <c r="AR44" s="534">
        <f>'PLANILHA GERAL'!$J$140</f>
        <v>1.22</v>
      </c>
      <c r="AS44" s="534">
        <f t="shared" si="38"/>
        <v>0</v>
      </c>
    </row>
    <row r="45" spans="1:45" s="532" customFormat="1" ht="90" hidden="1" customHeight="1">
      <c r="A45" s="526"/>
      <c r="B45" s="527"/>
      <c r="C45" s="528"/>
      <c r="D45" s="529"/>
      <c r="E45" s="529">
        <f t="shared" si="21"/>
        <v>0</v>
      </c>
      <c r="F45" s="529"/>
      <c r="G45" s="529">
        <f t="shared" si="22"/>
        <v>0</v>
      </c>
      <c r="H45" s="529">
        <f t="shared" si="23"/>
        <v>0</v>
      </c>
      <c r="I45" s="529">
        <f t="shared" si="24"/>
        <v>0</v>
      </c>
      <c r="J45" s="529">
        <f t="shared" si="25"/>
        <v>0</v>
      </c>
      <c r="K45" s="529">
        <f t="shared" si="26"/>
        <v>0</v>
      </c>
      <c r="L45" s="529">
        <f t="shared" si="27"/>
        <v>0</v>
      </c>
      <c r="M45" s="529">
        <f t="shared" si="19"/>
        <v>0</v>
      </c>
      <c r="N45" s="529">
        <f t="shared" si="28"/>
        <v>0</v>
      </c>
      <c r="O45" s="529"/>
      <c r="P45" s="529">
        <f t="shared" si="29"/>
        <v>0</v>
      </c>
      <c r="Q45" s="529"/>
      <c r="R45" s="529">
        <f t="shared" si="30"/>
        <v>0</v>
      </c>
      <c r="S45" s="529">
        <f t="shared" si="31"/>
        <v>0</v>
      </c>
      <c r="T45" s="529">
        <f t="shared" si="32"/>
        <v>0</v>
      </c>
      <c r="U45" s="529"/>
      <c r="V45" s="529">
        <f t="shared" si="33"/>
        <v>0</v>
      </c>
      <c r="W45" s="529">
        <f t="shared" si="34"/>
        <v>0</v>
      </c>
      <c r="X45" s="529">
        <v>16</v>
      </c>
      <c r="Y45" s="530">
        <f t="shared" si="35"/>
        <v>0</v>
      </c>
      <c r="Z45" s="531">
        <f t="shared" si="36"/>
        <v>0</v>
      </c>
      <c r="AB45" s="533">
        <f t="shared" si="37"/>
        <v>0</v>
      </c>
      <c r="AC45" s="534">
        <f>'PLANILHA GERAL'!$J$122</f>
        <v>6.35</v>
      </c>
      <c r="AD45" s="534">
        <f>'PLANILHA GERAL'!$J$123</f>
        <v>18.53</v>
      </c>
      <c r="AE45" s="534">
        <f>'PLANILHA GERAL'!$J$124</f>
        <v>3.7</v>
      </c>
      <c r="AF45" s="534">
        <f>'PLANILHA GERAL'!$J$125</f>
        <v>18.53</v>
      </c>
      <c r="AG45" s="534">
        <f>'PLANILHA GERAL'!$J$126</f>
        <v>47.61</v>
      </c>
      <c r="AH45" s="534">
        <f>'PLANILHA GERAL'!$J$127</f>
        <v>2.33</v>
      </c>
      <c r="AI45" s="535">
        <f>'PLANILHA GERAL'!$J$128</f>
        <v>1.22</v>
      </c>
      <c r="AJ45" s="535">
        <f>'PLANILHA GERAL'!$J$129</f>
        <v>14.52</v>
      </c>
      <c r="AK45" s="536">
        <f>'PLANILHA GERAL'!$J$132</f>
        <v>238.44</v>
      </c>
      <c r="AL45" s="536">
        <f>'PLANILHA GERAL'!$J$134</f>
        <v>18.53</v>
      </c>
      <c r="AM45" s="534">
        <f>'PLANILHA GERAL'!$J$135</f>
        <v>2.33</v>
      </c>
      <c r="AN45" s="534">
        <f>'PLANILHA GERAL'!$J$136</f>
        <v>1.22</v>
      </c>
      <c r="AO45" s="534">
        <f>'PLANILHA GERAL'!$J$137</f>
        <v>77.989999999999995</v>
      </c>
      <c r="AP45" s="534">
        <f>'PLANILHA GERAL'!$J$138</f>
        <v>18.53</v>
      </c>
      <c r="AQ45" s="534">
        <f>'PLANILHA GERAL'!$J$139</f>
        <v>2.33</v>
      </c>
      <c r="AR45" s="534">
        <f>'PLANILHA GERAL'!$J$140</f>
        <v>1.22</v>
      </c>
      <c r="AS45" s="534">
        <f t="shared" si="38"/>
        <v>0</v>
      </c>
    </row>
    <row r="46" spans="1:45" s="532" customFormat="1" ht="90" hidden="1" customHeight="1">
      <c r="A46" s="526"/>
      <c r="B46" s="527"/>
      <c r="C46" s="528"/>
      <c r="D46" s="529"/>
      <c r="E46" s="529">
        <f t="shared" si="21"/>
        <v>0</v>
      </c>
      <c r="F46" s="529"/>
      <c r="G46" s="529">
        <f t="shared" si="22"/>
        <v>0</v>
      </c>
      <c r="H46" s="529">
        <f t="shared" si="23"/>
        <v>0</v>
      </c>
      <c r="I46" s="529">
        <f t="shared" si="24"/>
        <v>0</v>
      </c>
      <c r="J46" s="529">
        <f t="shared" si="25"/>
        <v>0</v>
      </c>
      <c r="K46" s="529">
        <f t="shared" si="26"/>
        <v>0</v>
      </c>
      <c r="L46" s="529">
        <f t="shared" si="27"/>
        <v>0</v>
      </c>
      <c r="M46" s="529">
        <f t="shared" si="19"/>
        <v>0</v>
      </c>
      <c r="N46" s="529">
        <f t="shared" si="28"/>
        <v>0</v>
      </c>
      <c r="O46" s="529"/>
      <c r="P46" s="529">
        <f t="shared" si="29"/>
        <v>0</v>
      </c>
      <c r="Q46" s="529"/>
      <c r="R46" s="529">
        <f t="shared" si="30"/>
        <v>0</v>
      </c>
      <c r="S46" s="529">
        <f t="shared" si="31"/>
        <v>0</v>
      </c>
      <c r="T46" s="529">
        <f t="shared" si="32"/>
        <v>0</v>
      </c>
      <c r="U46" s="529"/>
      <c r="V46" s="529">
        <f t="shared" si="33"/>
        <v>0</v>
      </c>
      <c r="W46" s="529">
        <f t="shared" si="34"/>
        <v>0</v>
      </c>
      <c r="X46" s="529">
        <v>16</v>
      </c>
      <c r="Y46" s="530">
        <f t="shared" si="35"/>
        <v>0</v>
      </c>
      <c r="Z46" s="531">
        <f t="shared" si="36"/>
        <v>0</v>
      </c>
      <c r="AB46" s="533">
        <f t="shared" si="37"/>
        <v>0</v>
      </c>
      <c r="AC46" s="534">
        <f>'PLANILHA GERAL'!$J$122</f>
        <v>6.35</v>
      </c>
      <c r="AD46" s="534">
        <f>'PLANILHA GERAL'!$J$123</f>
        <v>18.53</v>
      </c>
      <c r="AE46" s="534">
        <f>'PLANILHA GERAL'!$J$124</f>
        <v>3.7</v>
      </c>
      <c r="AF46" s="534">
        <f>'PLANILHA GERAL'!$J$125</f>
        <v>18.53</v>
      </c>
      <c r="AG46" s="534">
        <f>'PLANILHA GERAL'!$J$126</f>
        <v>47.61</v>
      </c>
      <c r="AH46" s="534">
        <f>'PLANILHA GERAL'!$J$127</f>
        <v>2.33</v>
      </c>
      <c r="AI46" s="535">
        <f>'PLANILHA GERAL'!$J$128</f>
        <v>1.22</v>
      </c>
      <c r="AJ46" s="535">
        <f>'PLANILHA GERAL'!$J$129</f>
        <v>14.52</v>
      </c>
      <c r="AK46" s="536">
        <f>'PLANILHA GERAL'!$J$132</f>
        <v>238.44</v>
      </c>
      <c r="AL46" s="536">
        <f>'PLANILHA GERAL'!$J$134</f>
        <v>18.53</v>
      </c>
      <c r="AM46" s="534">
        <f>'PLANILHA GERAL'!$J$135</f>
        <v>2.33</v>
      </c>
      <c r="AN46" s="534">
        <f>'PLANILHA GERAL'!$J$136</f>
        <v>1.22</v>
      </c>
      <c r="AO46" s="534">
        <f>'PLANILHA GERAL'!$J$137</f>
        <v>77.989999999999995</v>
      </c>
      <c r="AP46" s="534">
        <f>'PLANILHA GERAL'!$J$138</f>
        <v>18.53</v>
      </c>
      <c r="AQ46" s="534">
        <f>'PLANILHA GERAL'!$J$139</f>
        <v>2.33</v>
      </c>
      <c r="AR46" s="534">
        <f>'PLANILHA GERAL'!$J$140</f>
        <v>1.22</v>
      </c>
      <c r="AS46" s="534">
        <f t="shared" si="38"/>
        <v>0</v>
      </c>
    </row>
    <row r="47" spans="1:45" s="532" customFormat="1" ht="90" hidden="1" customHeight="1">
      <c r="A47" s="526"/>
      <c r="B47" s="527"/>
      <c r="C47" s="528"/>
      <c r="D47" s="529"/>
      <c r="E47" s="529">
        <f t="shared" si="21"/>
        <v>0</v>
      </c>
      <c r="F47" s="529"/>
      <c r="G47" s="529">
        <f t="shared" si="22"/>
        <v>0</v>
      </c>
      <c r="H47" s="529">
        <f t="shared" si="23"/>
        <v>0</v>
      </c>
      <c r="I47" s="529">
        <f t="shared" si="24"/>
        <v>0</v>
      </c>
      <c r="J47" s="529">
        <f t="shared" si="25"/>
        <v>0</v>
      </c>
      <c r="K47" s="529">
        <f t="shared" si="26"/>
        <v>0</v>
      </c>
      <c r="L47" s="529">
        <f t="shared" si="27"/>
        <v>0</v>
      </c>
      <c r="M47" s="529">
        <f t="shared" si="19"/>
        <v>0</v>
      </c>
      <c r="N47" s="529">
        <f t="shared" si="28"/>
        <v>0</v>
      </c>
      <c r="O47" s="529"/>
      <c r="P47" s="529">
        <f t="shared" si="29"/>
        <v>0</v>
      </c>
      <c r="Q47" s="529"/>
      <c r="R47" s="529">
        <f t="shared" si="30"/>
        <v>0</v>
      </c>
      <c r="S47" s="529">
        <f t="shared" si="31"/>
        <v>0</v>
      </c>
      <c r="T47" s="529">
        <f t="shared" si="32"/>
        <v>0</v>
      </c>
      <c r="U47" s="529"/>
      <c r="V47" s="529">
        <f t="shared" si="33"/>
        <v>0</v>
      </c>
      <c r="W47" s="529">
        <f t="shared" si="34"/>
        <v>0</v>
      </c>
      <c r="X47" s="529">
        <v>16</v>
      </c>
      <c r="Y47" s="530">
        <f t="shared" si="35"/>
        <v>0</v>
      </c>
      <c r="Z47" s="531">
        <f t="shared" si="36"/>
        <v>0</v>
      </c>
      <c r="AB47" s="533">
        <f t="shared" si="37"/>
        <v>0</v>
      </c>
      <c r="AC47" s="534">
        <f>'PLANILHA GERAL'!$J$122</f>
        <v>6.35</v>
      </c>
      <c r="AD47" s="534">
        <f>'PLANILHA GERAL'!$J$123</f>
        <v>18.53</v>
      </c>
      <c r="AE47" s="534">
        <f>'PLANILHA GERAL'!$J$124</f>
        <v>3.7</v>
      </c>
      <c r="AF47" s="534">
        <f>'PLANILHA GERAL'!$J$125</f>
        <v>18.53</v>
      </c>
      <c r="AG47" s="534">
        <f>'PLANILHA GERAL'!$J$126</f>
        <v>47.61</v>
      </c>
      <c r="AH47" s="534">
        <f>'PLANILHA GERAL'!$J$127</f>
        <v>2.33</v>
      </c>
      <c r="AI47" s="535">
        <f>'PLANILHA GERAL'!$J$128</f>
        <v>1.22</v>
      </c>
      <c r="AJ47" s="535">
        <f>'PLANILHA GERAL'!$J$129</f>
        <v>14.52</v>
      </c>
      <c r="AK47" s="536">
        <f>'PLANILHA GERAL'!$J$132</f>
        <v>238.44</v>
      </c>
      <c r="AL47" s="536">
        <f>'PLANILHA GERAL'!$J$134</f>
        <v>18.53</v>
      </c>
      <c r="AM47" s="534">
        <f>'PLANILHA GERAL'!$J$135</f>
        <v>2.33</v>
      </c>
      <c r="AN47" s="534">
        <f>'PLANILHA GERAL'!$J$136</f>
        <v>1.22</v>
      </c>
      <c r="AO47" s="534">
        <f>'PLANILHA GERAL'!$J$137</f>
        <v>77.989999999999995</v>
      </c>
      <c r="AP47" s="534">
        <f>'PLANILHA GERAL'!$J$138</f>
        <v>18.53</v>
      </c>
      <c r="AQ47" s="534">
        <f>'PLANILHA GERAL'!$J$139</f>
        <v>2.33</v>
      </c>
      <c r="AR47" s="534">
        <f>'PLANILHA GERAL'!$J$140</f>
        <v>1.22</v>
      </c>
      <c r="AS47" s="534">
        <f t="shared" si="38"/>
        <v>0</v>
      </c>
    </row>
    <row r="48" spans="1:45" s="532" customFormat="1" ht="90" hidden="1" customHeight="1">
      <c r="A48" s="526"/>
      <c r="B48" s="527"/>
      <c r="C48" s="528"/>
      <c r="D48" s="529"/>
      <c r="E48" s="529">
        <f t="shared" si="21"/>
        <v>0</v>
      </c>
      <c r="F48" s="529"/>
      <c r="G48" s="529">
        <f t="shared" si="22"/>
        <v>0</v>
      </c>
      <c r="H48" s="529">
        <f t="shared" si="23"/>
        <v>0</v>
      </c>
      <c r="I48" s="529">
        <f t="shared" si="24"/>
        <v>0</v>
      </c>
      <c r="J48" s="529">
        <f t="shared" si="25"/>
        <v>0</v>
      </c>
      <c r="K48" s="529">
        <f t="shared" si="26"/>
        <v>0</v>
      </c>
      <c r="L48" s="529">
        <f t="shared" si="27"/>
        <v>0</v>
      </c>
      <c r="M48" s="529">
        <f t="shared" si="19"/>
        <v>0</v>
      </c>
      <c r="N48" s="529">
        <f t="shared" si="28"/>
        <v>0</v>
      </c>
      <c r="O48" s="529"/>
      <c r="P48" s="529">
        <f t="shared" si="29"/>
        <v>0</v>
      </c>
      <c r="Q48" s="529"/>
      <c r="R48" s="529">
        <f t="shared" si="30"/>
        <v>0</v>
      </c>
      <c r="S48" s="529">
        <f t="shared" si="31"/>
        <v>0</v>
      </c>
      <c r="T48" s="529">
        <f t="shared" si="32"/>
        <v>0</v>
      </c>
      <c r="U48" s="529"/>
      <c r="V48" s="529">
        <f t="shared" si="33"/>
        <v>0</v>
      </c>
      <c r="W48" s="529">
        <f t="shared" si="34"/>
        <v>0</v>
      </c>
      <c r="X48" s="529">
        <v>16</v>
      </c>
      <c r="Y48" s="530">
        <f t="shared" si="35"/>
        <v>0</v>
      </c>
      <c r="Z48" s="531">
        <f t="shared" si="36"/>
        <v>0</v>
      </c>
      <c r="AB48" s="533">
        <f t="shared" si="37"/>
        <v>0</v>
      </c>
      <c r="AC48" s="534">
        <f>'PLANILHA GERAL'!$J$122</f>
        <v>6.35</v>
      </c>
      <c r="AD48" s="534">
        <f>'PLANILHA GERAL'!$J$123</f>
        <v>18.53</v>
      </c>
      <c r="AE48" s="534">
        <f>'PLANILHA GERAL'!$J$124</f>
        <v>3.7</v>
      </c>
      <c r="AF48" s="534">
        <f>'PLANILHA GERAL'!$J$125</f>
        <v>18.53</v>
      </c>
      <c r="AG48" s="534">
        <f>'PLANILHA GERAL'!$J$126</f>
        <v>47.61</v>
      </c>
      <c r="AH48" s="534">
        <f>'PLANILHA GERAL'!$J$127</f>
        <v>2.33</v>
      </c>
      <c r="AI48" s="535">
        <f>'PLANILHA GERAL'!$J$128</f>
        <v>1.22</v>
      </c>
      <c r="AJ48" s="535">
        <f>'PLANILHA GERAL'!$J$129</f>
        <v>14.52</v>
      </c>
      <c r="AK48" s="536">
        <f>'PLANILHA GERAL'!$J$132</f>
        <v>238.44</v>
      </c>
      <c r="AL48" s="536">
        <f>'PLANILHA GERAL'!$J$134</f>
        <v>18.53</v>
      </c>
      <c r="AM48" s="534">
        <f>'PLANILHA GERAL'!$J$135</f>
        <v>2.33</v>
      </c>
      <c r="AN48" s="534">
        <f>'PLANILHA GERAL'!$J$136</f>
        <v>1.22</v>
      </c>
      <c r="AO48" s="534">
        <f>'PLANILHA GERAL'!$J$137</f>
        <v>77.989999999999995</v>
      </c>
      <c r="AP48" s="534">
        <f>'PLANILHA GERAL'!$J$138</f>
        <v>18.53</v>
      </c>
      <c r="AQ48" s="534">
        <f>'PLANILHA GERAL'!$J$139</f>
        <v>2.33</v>
      </c>
      <c r="AR48" s="534">
        <f>'PLANILHA GERAL'!$J$140</f>
        <v>1.22</v>
      </c>
      <c r="AS48" s="534">
        <f t="shared" si="38"/>
        <v>0</v>
      </c>
    </row>
    <row r="49" spans="1:45" s="532" customFormat="1" ht="90" hidden="1" customHeight="1">
      <c r="A49" s="526"/>
      <c r="B49" s="527"/>
      <c r="C49" s="528"/>
      <c r="D49" s="529"/>
      <c r="E49" s="529">
        <f t="shared" si="21"/>
        <v>0</v>
      </c>
      <c r="F49" s="529"/>
      <c r="G49" s="529">
        <f t="shared" si="22"/>
        <v>0</v>
      </c>
      <c r="H49" s="529">
        <f t="shared" si="23"/>
        <v>0</v>
      </c>
      <c r="I49" s="529">
        <f t="shared" si="24"/>
        <v>0</v>
      </c>
      <c r="J49" s="529">
        <f t="shared" si="25"/>
        <v>0</v>
      </c>
      <c r="K49" s="529">
        <f t="shared" si="26"/>
        <v>0</v>
      </c>
      <c r="L49" s="529">
        <f t="shared" si="27"/>
        <v>0</v>
      </c>
      <c r="M49" s="529">
        <f t="shared" si="19"/>
        <v>0</v>
      </c>
      <c r="N49" s="529">
        <f t="shared" si="28"/>
        <v>0</v>
      </c>
      <c r="O49" s="529"/>
      <c r="P49" s="529">
        <f t="shared" si="29"/>
        <v>0</v>
      </c>
      <c r="Q49" s="529"/>
      <c r="R49" s="529">
        <f t="shared" si="30"/>
        <v>0</v>
      </c>
      <c r="S49" s="529">
        <f t="shared" si="31"/>
        <v>0</v>
      </c>
      <c r="T49" s="529">
        <f t="shared" si="32"/>
        <v>0</v>
      </c>
      <c r="U49" s="529"/>
      <c r="V49" s="529">
        <f t="shared" si="33"/>
        <v>0</v>
      </c>
      <c r="W49" s="529">
        <f t="shared" si="34"/>
        <v>0</v>
      </c>
      <c r="X49" s="529">
        <v>16</v>
      </c>
      <c r="Y49" s="530">
        <f t="shared" si="35"/>
        <v>0</v>
      </c>
      <c r="Z49" s="531">
        <f t="shared" si="36"/>
        <v>0</v>
      </c>
      <c r="AB49" s="533">
        <f t="shared" si="37"/>
        <v>0</v>
      </c>
      <c r="AC49" s="534">
        <f>'PLANILHA GERAL'!$J$122</f>
        <v>6.35</v>
      </c>
      <c r="AD49" s="534">
        <f>'PLANILHA GERAL'!$J$123</f>
        <v>18.53</v>
      </c>
      <c r="AE49" s="534">
        <f>'PLANILHA GERAL'!$J$124</f>
        <v>3.7</v>
      </c>
      <c r="AF49" s="534">
        <f>'PLANILHA GERAL'!$J$125</f>
        <v>18.53</v>
      </c>
      <c r="AG49" s="534">
        <f>'PLANILHA GERAL'!$J$126</f>
        <v>47.61</v>
      </c>
      <c r="AH49" s="534">
        <f>'PLANILHA GERAL'!$J$127</f>
        <v>2.33</v>
      </c>
      <c r="AI49" s="535">
        <f>'PLANILHA GERAL'!$J$128</f>
        <v>1.22</v>
      </c>
      <c r="AJ49" s="535">
        <f>'PLANILHA GERAL'!$J$129</f>
        <v>14.52</v>
      </c>
      <c r="AK49" s="536">
        <f>'PLANILHA GERAL'!$J$132</f>
        <v>238.44</v>
      </c>
      <c r="AL49" s="536">
        <f>'PLANILHA GERAL'!$J$134</f>
        <v>18.53</v>
      </c>
      <c r="AM49" s="534">
        <f>'PLANILHA GERAL'!$J$135</f>
        <v>2.33</v>
      </c>
      <c r="AN49" s="534">
        <f>'PLANILHA GERAL'!$J$136</f>
        <v>1.22</v>
      </c>
      <c r="AO49" s="534">
        <f>'PLANILHA GERAL'!$J$137</f>
        <v>77.989999999999995</v>
      </c>
      <c r="AP49" s="534">
        <f>'PLANILHA GERAL'!$J$138</f>
        <v>18.53</v>
      </c>
      <c r="AQ49" s="534">
        <f>'PLANILHA GERAL'!$J$139</f>
        <v>2.33</v>
      </c>
      <c r="AR49" s="534">
        <f>'PLANILHA GERAL'!$J$140</f>
        <v>1.22</v>
      </c>
      <c r="AS49" s="534">
        <f t="shared" si="38"/>
        <v>0</v>
      </c>
    </row>
    <row r="50" spans="1:45" s="532" customFormat="1" ht="90" hidden="1" customHeight="1">
      <c r="A50" s="526"/>
      <c r="B50" s="527"/>
      <c r="C50" s="528"/>
      <c r="D50" s="529"/>
      <c r="E50" s="529">
        <f t="shared" si="21"/>
        <v>0</v>
      </c>
      <c r="F50" s="529"/>
      <c r="G50" s="529">
        <f t="shared" si="22"/>
        <v>0</v>
      </c>
      <c r="H50" s="529">
        <f t="shared" si="23"/>
        <v>0</v>
      </c>
      <c r="I50" s="529">
        <f t="shared" si="24"/>
        <v>0</v>
      </c>
      <c r="J50" s="529">
        <f t="shared" si="25"/>
        <v>0</v>
      </c>
      <c r="K50" s="529">
        <f t="shared" si="26"/>
        <v>0</v>
      </c>
      <c r="L50" s="529">
        <f t="shared" si="27"/>
        <v>0</v>
      </c>
      <c r="M50" s="529">
        <f t="shared" si="19"/>
        <v>0</v>
      </c>
      <c r="N50" s="529">
        <f t="shared" si="28"/>
        <v>0</v>
      </c>
      <c r="O50" s="529"/>
      <c r="P50" s="529">
        <f t="shared" si="29"/>
        <v>0</v>
      </c>
      <c r="Q50" s="529"/>
      <c r="R50" s="529">
        <f t="shared" si="30"/>
        <v>0</v>
      </c>
      <c r="S50" s="529">
        <f t="shared" si="31"/>
        <v>0</v>
      </c>
      <c r="T50" s="529">
        <f t="shared" si="32"/>
        <v>0</v>
      </c>
      <c r="U50" s="529"/>
      <c r="V50" s="529">
        <f t="shared" si="33"/>
        <v>0</v>
      </c>
      <c r="W50" s="529">
        <f t="shared" si="34"/>
        <v>0</v>
      </c>
      <c r="X50" s="529">
        <v>16</v>
      </c>
      <c r="Y50" s="530">
        <f t="shared" si="35"/>
        <v>0</v>
      </c>
      <c r="Z50" s="531">
        <f t="shared" si="36"/>
        <v>0</v>
      </c>
      <c r="AB50" s="533">
        <f t="shared" si="37"/>
        <v>0</v>
      </c>
      <c r="AC50" s="534">
        <f>'PLANILHA GERAL'!$J$122</f>
        <v>6.35</v>
      </c>
      <c r="AD50" s="534">
        <f>'PLANILHA GERAL'!$J$123</f>
        <v>18.53</v>
      </c>
      <c r="AE50" s="534">
        <f>'PLANILHA GERAL'!$J$124</f>
        <v>3.7</v>
      </c>
      <c r="AF50" s="534">
        <f>'PLANILHA GERAL'!$J$125</f>
        <v>18.53</v>
      </c>
      <c r="AG50" s="534">
        <f>'PLANILHA GERAL'!$J$126</f>
        <v>47.61</v>
      </c>
      <c r="AH50" s="534">
        <f>'PLANILHA GERAL'!$J$127</f>
        <v>2.33</v>
      </c>
      <c r="AI50" s="535">
        <f>'PLANILHA GERAL'!$J$128</f>
        <v>1.22</v>
      </c>
      <c r="AJ50" s="535">
        <f>'PLANILHA GERAL'!$J$129</f>
        <v>14.52</v>
      </c>
      <c r="AK50" s="536">
        <f>'PLANILHA GERAL'!$J$132</f>
        <v>238.44</v>
      </c>
      <c r="AL50" s="536">
        <f>'PLANILHA GERAL'!$J$134</f>
        <v>18.53</v>
      </c>
      <c r="AM50" s="534">
        <f>'PLANILHA GERAL'!$J$135</f>
        <v>2.33</v>
      </c>
      <c r="AN50" s="534">
        <f>'PLANILHA GERAL'!$J$136</f>
        <v>1.22</v>
      </c>
      <c r="AO50" s="534">
        <f>'PLANILHA GERAL'!$J$137</f>
        <v>77.989999999999995</v>
      </c>
      <c r="AP50" s="534">
        <f>'PLANILHA GERAL'!$J$138</f>
        <v>18.53</v>
      </c>
      <c r="AQ50" s="534">
        <f>'PLANILHA GERAL'!$J$139</f>
        <v>2.33</v>
      </c>
      <c r="AR50" s="534">
        <f>'PLANILHA GERAL'!$J$140</f>
        <v>1.22</v>
      </c>
      <c r="AS50" s="534">
        <f t="shared" si="38"/>
        <v>0</v>
      </c>
    </row>
    <row r="51" spans="1:45" s="532" customFormat="1" ht="90" hidden="1" customHeight="1">
      <c r="A51" s="526"/>
      <c r="B51" s="527"/>
      <c r="C51" s="528"/>
      <c r="D51" s="529"/>
      <c r="E51" s="529">
        <f t="shared" si="21"/>
        <v>0</v>
      </c>
      <c r="F51" s="529"/>
      <c r="G51" s="529">
        <f t="shared" si="22"/>
        <v>0</v>
      </c>
      <c r="H51" s="529">
        <f t="shared" si="23"/>
        <v>0</v>
      </c>
      <c r="I51" s="529">
        <f t="shared" si="24"/>
        <v>0</v>
      </c>
      <c r="J51" s="529">
        <f t="shared" si="25"/>
        <v>0</v>
      </c>
      <c r="K51" s="529">
        <f t="shared" si="26"/>
        <v>0</v>
      </c>
      <c r="L51" s="529">
        <f t="shared" si="27"/>
        <v>0</v>
      </c>
      <c r="M51" s="529">
        <f t="shared" si="19"/>
        <v>0</v>
      </c>
      <c r="N51" s="529">
        <f t="shared" si="28"/>
        <v>0</v>
      </c>
      <c r="O51" s="529"/>
      <c r="P51" s="529">
        <f t="shared" si="29"/>
        <v>0</v>
      </c>
      <c r="Q51" s="529"/>
      <c r="R51" s="529">
        <f t="shared" si="30"/>
        <v>0</v>
      </c>
      <c r="S51" s="529">
        <f t="shared" si="31"/>
        <v>0</v>
      </c>
      <c r="T51" s="529">
        <f t="shared" si="32"/>
        <v>0</v>
      </c>
      <c r="U51" s="529"/>
      <c r="V51" s="529">
        <f t="shared" si="33"/>
        <v>0</v>
      </c>
      <c r="W51" s="529">
        <f t="shared" si="34"/>
        <v>0</v>
      </c>
      <c r="X51" s="529">
        <v>16</v>
      </c>
      <c r="Y51" s="530">
        <f t="shared" si="35"/>
        <v>0</v>
      </c>
      <c r="Z51" s="531">
        <f t="shared" si="36"/>
        <v>0</v>
      </c>
      <c r="AB51" s="533">
        <f t="shared" si="37"/>
        <v>0</v>
      </c>
      <c r="AC51" s="534">
        <f>'PLANILHA GERAL'!$J$122</f>
        <v>6.35</v>
      </c>
      <c r="AD51" s="534">
        <f>'PLANILHA GERAL'!$J$123</f>
        <v>18.53</v>
      </c>
      <c r="AE51" s="534">
        <f>'PLANILHA GERAL'!$J$124</f>
        <v>3.7</v>
      </c>
      <c r="AF51" s="534">
        <f>'PLANILHA GERAL'!$J$125</f>
        <v>18.53</v>
      </c>
      <c r="AG51" s="534">
        <f>'PLANILHA GERAL'!$J$126</f>
        <v>47.61</v>
      </c>
      <c r="AH51" s="534">
        <f>'PLANILHA GERAL'!$J$127</f>
        <v>2.33</v>
      </c>
      <c r="AI51" s="535">
        <f>'PLANILHA GERAL'!$J$128</f>
        <v>1.22</v>
      </c>
      <c r="AJ51" s="535">
        <f>'PLANILHA GERAL'!$J$129</f>
        <v>14.52</v>
      </c>
      <c r="AK51" s="536">
        <f>'PLANILHA GERAL'!$J$132</f>
        <v>238.44</v>
      </c>
      <c r="AL51" s="536">
        <f>'PLANILHA GERAL'!$J$134</f>
        <v>18.53</v>
      </c>
      <c r="AM51" s="534">
        <f>'PLANILHA GERAL'!$J$135</f>
        <v>2.33</v>
      </c>
      <c r="AN51" s="534">
        <f>'PLANILHA GERAL'!$J$136</f>
        <v>1.22</v>
      </c>
      <c r="AO51" s="534">
        <f>'PLANILHA GERAL'!$J$137</f>
        <v>77.989999999999995</v>
      </c>
      <c r="AP51" s="534">
        <f>'PLANILHA GERAL'!$J$138</f>
        <v>18.53</v>
      </c>
      <c r="AQ51" s="534">
        <f>'PLANILHA GERAL'!$J$139</f>
        <v>2.33</v>
      </c>
      <c r="AR51" s="534">
        <f>'PLANILHA GERAL'!$J$140</f>
        <v>1.22</v>
      </c>
      <c r="AS51" s="534">
        <f t="shared" si="38"/>
        <v>0</v>
      </c>
    </row>
    <row r="52" spans="1:45" s="532" customFormat="1" ht="90" hidden="1" customHeight="1">
      <c r="A52" s="526"/>
      <c r="B52" s="527"/>
      <c r="C52" s="528"/>
      <c r="D52" s="529"/>
      <c r="E52" s="529">
        <f>C52*(D52+1)*0</f>
        <v>0</v>
      </c>
      <c r="F52" s="529"/>
      <c r="G52" s="529">
        <f>E52*F52</f>
        <v>0</v>
      </c>
      <c r="H52" s="529">
        <f>G52*1.3*$H$17</f>
        <v>0</v>
      </c>
      <c r="I52" s="529">
        <f>E52*F52</f>
        <v>0</v>
      </c>
      <c r="J52" s="529">
        <f>IF(F52-(O52+U52)&lt;0,,F52-(O52+U52))</f>
        <v>0</v>
      </c>
      <c r="K52" s="529">
        <f>J52*E52</f>
        <v>0</v>
      </c>
      <c r="L52" s="529">
        <f>K52*1.3*$L$17</f>
        <v>0</v>
      </c>
      <c r="M52" s="529">
        <f t="shared" si="19"/>
        <v>0</v>
      </c>
      <c r="N52" s="529">
        <f>K52</f>
        <v>0</v>
      </c>
      <c r="O52" s="529"/>
      <c r="P52" s="529">
        <f>E52*O52</f>
        <v>0</v>
      </c>
      <c r="Q52" s="529"/>
      <c r="R52" s="529">
        <f>P52</f>
        <v>0</v>
      </c>
      <c r="S52" s="529">
        <f>P52*1.3*$S$17</f>
        <v>0</v>
      </c>
      <c r="T52" s="529">
        <f>P52*1.3*$T$17</f>
        <v>0</v>
      </c>
      <c r="U52" s="529"/>
      <c r="V52" s="529">
        <f>E52*U52</f>
        <v>0</v>
      </c>
      <c r="W52" s="529">
        <f>V52</f>
        <v>0</v>
      </c>
      <c r="X52" s="529">
        <v>16</v>
      </c>
      <c r="Y52" s="530">
        <f>V52*1.3*$Y$17</f>
        <v>0</v>
      </c>
      <c r="Z52" s="531">
        <f>V52*1.3*$Z$17</f>
        <v>0</v>
      </c>
      <c r="AB52" s="533">
        <f>A52</f>
        <v>0</v>
      </c>
      <c r="AC52" s="534">
        <f>'PLANILHA GERAL'!$J$122</f>
        <v>6.35</v>
      </c>
      <c r="AD52" s="534">
        <f>'PLANILHA GERAL'!$J$123</f>
        <v>18.53</v>
      </c>
      <c r="AE52" s="534">
        <f>'PLANILHA GERAL'!$J$124</f>
        <v>3.7</v>
      </c>
      <c r="AF52" s="534">
        <f>'PLANILHA GERAL'!$J$125</f>
        <v>18.53</v>
      </c>
      <c r="AG52" s="534">
        <f>'PLANILHA GERAL'!$J$126</f>
        <v>47.61</v>
      </c>
      <c r="AH52" s="534">
        <f>'PLANILHA GERAL'!$J$127</f>
        <v>2.33</v>
      </c>
      <c r="AI52" s="535">
        <f>'PLANILHA GERAL'!$J$128</f>
        <v>1.22</v>
      </c>
      <c r="AJ52" s="535">
        <f>'PLANILHA GERAL'!$J$129</f>
        <v>14.52</v>
      </c>
      <c r="AK52" s="536">
        <f>'PLANILHA GERAL'!$J$132</f>
        <v>238.44</v>
      </c>
      <c r="AL52" s="536">
        <f>'PLANILHA GERAL'!$J$134</f>
        <v>18.53</v>
      </c>
      <c r="AM52" s="534">
        <f>'PLANILHA GERAL'!$J$135</f>
        <v>2.33</v>
      </c>
      <c r="AN52" s="534">
        <f>'PLANILHA GERAL'!$J$136</f>
        <v>1.22</v>
      </c>
      <c r="AO52" s="534">
        <f>'PLANILHA GERAL'!$J$137</f>
        <v>77.989999999999995</v>
      </c>
      <c r="AP52" s="534">
        <f>'PLANILHA GERAL'!$J$138</f>
        <v>18.53</v>
      </c>
      <c r="AQ52" s="534">
        <f>'PLANILHA GERAL'!$J$139</f>
        <v>2.33</v>
      </c>
      <c r="AR52" s="534">
        <f>'PLANILHA GERAL'!$J$140</f>
        <v>1.22</v>
      </c>
      <c r="AS52" s="534">
        <f>E52*AC52+G52*AD52+H52*AE52+I52*AF52+K52*AG52+L52*AH52+M52*AI52+N52*AJ52+P52*AK52+R52*AL52+S52*AM52+T52*AN52+V52*AO52+W52*AP52+Y52*AQ52+Z52*AR52</f>
        <v>0</v>
      </c>
    </row>
    <row r="53" spans="1:45" s="532" customFormat="1" ht="90" hidden="1" customHeight="1">
      <c r="A53" s="526"/>
      <c r="B53" s="527"/>
      <c r="C53" s="528"/>
      <c r="D53" s="529"/>
      <c r="E53" s="529">
        <f>C53*(D53+1)*0</f>
        <v>0</v>
      </c>
      <c r="F53" s="529"/>
      <c r="G53" s="529">
        <f>E53*F53</f>
        <v>0</v>
      </c>
      <c r="H53" s="529">
        <f>G53*1.3*$H$17</f>
        <v>0</v>
      </c>
      <c r="I53" s="529">
        <f>E53*F53</f>
        <v>0</v>
      </c>
      <c r="J53" s="529">
        <f>IF(F53-(O53+U53)&lt;0,,F53-(O53+U53))</f>
        <v>0</v>
      </c>
      <c r="K53" s="529">
        <f>J53*E53</f>
        <v>0</v>
      </c>
      <c r="L53" s="529">
        <f>K53*1.3*$L$17</f>
        <v>0</v>
      </c>
      <c r="M53" s="529">
        <f t="shared" si="19"/>
        <v>0</v>
      </c>
      <c r="N53" s="529">
        <f>K53</f>
        <v>0</v>
      </c>
      <c r="O53" s="529"/>
      <c r="P53" s="529">
        <f>E53*O53</f>
        <v>0</v>
      </c>
      <c r="Q53" s="529"/>
      <c r="R53" s="529">
        <f>P53</f>
        <v>0</v>
      </c>
      <c r="S53" s="529">
        <f>P53*1.3*$S$17</f>
        <v>0</v>
      </c>
      <c r="T53" s="529">
        <f>P53*1.3*$T$17</f>
        <v>0</v>
      </c>
      <c r="U53" s="529"/>
      <c r="V53" s="529">
        <f>E53*U53</f>
        <v>0</v>
      </c>
      <c r="W53" s="529">
        <f>V53</f>
        <v>0</v>
      </c>
      <c r="X53" s="529">
        <v>16</v>
      </c>
      <c r="Y53" s="530">
        <f>V53*1.3*$Y$17</f>
        <v>0</v>
      </c>
      <c r="Z53" s="531">
        <f>V53*1.3*$Z$17</f>
        <v>0</v>
      </c>
      <c r="AB53" s="533">
        <f>A53</f>
        <v>0</v>
      </c>
      <c r="AC53" s="534">
        <f>'PLANILHA GERAL'!$J$122</f>
        <v>6.35</v>
      </c>
      <c r="AD53" s="534">
        <f>'PLANILHA GERAL'!$J$123</f>
        <v>18.53</v>
      </c>
      <c r="AE53" s="534">
        <f>'PLANILHA GERAL'!$J$124</f>
        <v>3.7</v>
      </c>
      <c r="AF53" s="534">
        <f>'PLANILHA GERAL'!$J$125</f>
        <v>18.53</v>
      </c>
      <c r="AG53" s="534">
        <f>'PLANILHA GERAL'!$J$126</f>
        <v>47.61</v>
      </c>
      <c r="AH53" s="534">
        <f>'PLANILHA GERAL'!$J$127</f>
        <v>2.33</v>
      </c>
      <c r="AI53" s="535">
        <f>'PLANILHA GERAL'!$J$128</f>
        <v>1.22</v>
      </c>
      <c r="AJ53" s="535">
        <f>'PLANILHA GERAL'!$J$129</f>
        <v>14.52</v>
      </c>
      <c r="AK53" s="536">
        <f>'PLANILHA GERAL'!$J$132</f>
        <v>238.44</v>
      </c>
      <c r="AL53" s="536">
        <f>'PLANILHA GERAL'!$J$134</f>
        <v>18.53</v>
      </c>
      <c r="AM53" s="534">
        <f>'PLANILHA GERAL'!$J$135</f>
        <v>2.33</v>
      </c>
      <c r="AN53" s="534">
        <f>'PLANILHA GERAL'!$J$136</f>
        <v>1.22</v>
      </c>
      <c r="AO53" s="534">
        <f>'PLANILHA GERAL'!$J$137</f>
        <v>77.989999999999995</v>
      </c>
      <c r="AP53" s="534">
        <f>'PLANILHA GERAL'!$J$138</f>
        <v>18.53</v>
      </c>
      <c r="AQ53" s="534">
        <f>'PLANILHA GERAL'!$J$139</f>
        <v>2.33</v>
      </c>
      <c r="AR53" s="534">
        <f>'PLANILHA GERAL'!$J$140</f>
        <v>1.22</v>
      </c>
      <c r="AS53" s="534">
        <f>E53*AC53+G53*AD53+H53*AE53+I53*AF53+K53*AG53+L53*AH53+M53*AI53+N53*AJ53+P53*AK53+R53*AL53+S53*AM53+T53*AN53+V53*AO53+W53*AP53+Y53*AQ53+Z53*AR53</f>
        <v>0</v>
      </c>
    </row>
    <row r="54" spans="1:45" s="532" customFormat="1" ht="90" hidden="1" customHeight="1">
      <c r="A54" s="526"/>
      <c r="B54" s="527"/>
      <c r="C54" s="528"/>
      <c r="D54" s="529"/>
      <c r="E54" s="529">
        <f t="shared" si="21"/>
        <v>0</v>
      </c>
      <c r="F54" s="529"/>
      <c r="G54" s="529">
        <f t="shared" si="22"/>
        <v>0</v>
      </c>
      <c r="H54" s="529">
        <f t="shared" si="23"/>
        <v>0</v>
      </c>
      <c r="I54" s="529">
        <f t="shared" si="24"/>
        <v>0</v>
      </c>
      <c r="J54" s="529">
        <f t="shared" si="25"/>
        <v>0</v>
      </c>
      <c r="K54" s="529">
        <f t="shared" si="26"/>
        <v>0</v>
      </c>
      <c r="L54" s="529">
        <f t="shared" si="27"/>
        <v>0</v>
      </c>
      <c r="M54" s="529">
        <f t="shared" si="19"/>
        <v>0</v>
      </c>
      <c r="N54" s="529">
        <f t="shared" si="28"/>
        <v>0</v>
      </c>
      <c r="O54" s="529"/>
      <c r="P54" s="529">
        <f t="shared" si="29"/>
        <v>0</v>
      </c>
      <c r="Q54" s="529"/>
      <c r="R54" s="529">
        <f t="shared" si="30"/>
        <v>0</v>
      </c>
      <c r="S54" s="529">
        <f t="shared" si="31"/>
        <v>0</v>
      </c>
      <c r="T54" s="529">
        <f t="shared" si="32"/>
        <v>0</v>
      </c>
      <c r="U54" s="529"/>
      <c r="V54" s="529">
        <f t="shared" si="33"/>
        <v>0</v>
      </c>
      <c r="W54" s="529">
        <f t="shared" si="34"/>
        <v>0</v>
      </c>
      <c r="X54" s="529">
        <v>16</v>
      </c>
      <c r="Y54" s="530">
        <f t="shared" si="35"/>
        <v>0</v>
      </c>
      <c r="Z54" s="531">
        <f t="shared" si="36"/>
        <v>0</v>
      </c>
      <c r="AB54" s="533">
        <f t="shared" si="37"/>
        <v>0</v>
      </c>
      <c r="AC54" s="534">
        <f>'PLANILHA GERAL'!$J$122</f>
        <v>6.35</v>
      </c>
      <c r="AD54" s="534">
        <f>'PLANILHA GERAL'!$J$123</f>
        <v>18.53</v>
      </c>
      <c r="AE54" s="534">
        <f>'PLANILHA GERAL'!$J$124</f>
        <v>3.7</v>
      </c>
      <c r="AF54" s="534">
        <f>'PLANILHA GERAL'!$J$125</f>
        <v>18.53</v>
      </c>
      <c r="AG54" s="534">
        <f>'PLANILHA GERAL'!$J$126</f>
        <v>47.61</v>
      </c>
      <c r="AH54" s="534">
        <f>'PLANILHA GERAL'!$J$127</f>
        <v>2.33</v>
      </c>
      <c r="AI54" s="535">
        <f>'PLANILHA GERAL'!$J$128</f>
        <v>1.22</v>
      </c>
      <c r="AJ54" s="535">
        <f>'PLANILHA GERAL'!$J$129</f>
        <v>14.52</v>
      </c>
      <c r="AK54" s="536">
        <f>'PLANILHA GERAL'!$J$132</f>
        <v>238.44</v>
      </c>
      <c r="AL54" s="536">
        <f>'PLANILHA GERAL'!$J$134</f>
        <v>18.53</v>
      </c>
      <c r="AM54" s="534">
        <f>'PLANILHA GERAL'!$J$135</f>
        <v>2.33</v>
      </c>
      <c r="AN54" s="534">
        <f>'PLANILHA GERAL'!$J$136</f>
        <v>1.22</v>
      </c>
      <c r="AO54" s="534">
        <f>'PLANILHA GERAL'!$J$137</f>
        <v>77.989999999999995</v>
      </c>
      <c r="AP54" s="534">
        <f>'PLANILHA GERAL'!$J$138</f>
        <v>18.53</v>
      </c>
      <c r="AQ54" s="534">
        <f>'PLANILHA GERAL'!$J$139</f>
        <v>2.33</v>
      </c>
      <c r="AR54" s="534">
        <f>'PLANILHA GERAL'!$J$140</f>
        <v>1.22</v>
      </c>
      <c r="AS54" s="534">
        <f t="shared" si="38"/>
        <v>0</v>
      </c>
    </row>
    <row r="55" spans="1:45" s="532" customFormat="1" ht="90" hidden="1" customHeight="1">
      <c r="A55" s="526"/>
      <c r="B55" s="527"/>
      <c r="C55" s="528"/>
      <c r="D55" s="529"/>
      <c r="E55" s="529">
        <f>C55*(D55+1)*0</f>
        <v>0</v>
      </c>
      <c r="F55" s="529"/>
      <c r="G55" s="529">
        <f>E55*F55</f>
        <v>0</v>
      </c>
      <c r="H55" s="529">
        <f>G55*1.3*$H$17</f>
        <v>0</v>
      </c>
      <c r="I55" s="529">
        <f>E55*F55</f>
        <v>0</v>
      </c>
      <c r="J55" s="529">
        <f>IF(F55-(O55+U55)&lt;0,,F55-(O55+U55))</f>
        <v>0</v>
      </c>
      <c r="K55" s="529">
        <f>J55*E55</f>
        <v>0</v>
      </c>
      <c r="L55" s="529">
        <f>K55*1.3*$L$17</f>
        <v>0</v>
      </c>
      <c r="M55" s="529">
        <f>K55*1.3*$M$17</f>
        <v>0</v>
      </c>
      <c r="N55" s="529">
        <f>K55</f>
        <v>0</v>
      </c>
      <c r="O55" s="529"/>
      <c r="P55" s="529">
        <f>E55*O55</f>
        <v>0</v>
      </c>
      <c r="Q55" s="529"/>
      <c r="R55" s="529">
        <f>P55</f>
        <v>0</v>
      </c>
      <c r="S55" s="529">
        <f>P55*1.3*$S$17</f>
        <v>0</v>
      </c>
      <c r="T55" s="529">
        <f>P55*1.3*$T$17</f>
        <v>0</v>
      </c>
      <c r="U55" s="529"/>
      <c r="V55" s="529">
        <f>E55*U55</f>
        <v>0</v>
      </c>
      <c r="W55" s="529">
        <f>V55</f>
        <v>0</v>
      </c>
      <c r="X55" s="529">
        <v>16</v>
      </c>
      <c r="Y55" s="530">
        <f>V55*1.3*$Y$17</f>
        <v>0</v>
      </c>
      <c r="Z55" s="531">
        <f>V55*1.3*$Z$17</f>
        <v>0</v>
      </c>
      <c r="AB55" s="533">
        <f>A55</f>
        <v>0</v>
      </c>
      <c r="AC55" s="534">
        <f>'PLANILHA GERAL'!$J$122</f>
        <v>6.35</v>
      </c>
      <c r="AD55" s="534">
        <f>'PLANILHA GERAL'!$J$123</f>
        <v>18.53</v>
      </c>
      <c r="AE55" s="534">
        <f>'PLANILHA GERAL'!$J$124</f>
        <v>3.7</v>
      </c>
      <c r="AF55" s="534">
        <f>'PLANILHA GERAL'!$J$125</f>
        <v>18.53</v>
      </c>
      <c r="AG55" s="534">
        <f>'PLANILHA GERAL'!$J$126</f>
        <v>47.61</v>
      </c>
      <c r="AH55" s="534">
        <f>'PLANILHA GERAL'!$J$127</f>
        <v>2.33</v>
      </c>
      <c r="AI55" s="535">
        <f>'PLANILHA GERAL'!$J$128</f>
        <v>1.22</v>
      </c>
      <c r="AJ55" s="535">
        <f>'PLANILHA GERAL'!$J$129</f>
        <v>14.52</v>
      </c>
      <c r="AK55" s="536">
        <f>'PLANILHA GERAL'!$J$132</f>
        <v>238.44</v>
      </c>
      <c r="AL55" s="536">
        <f>'PLANILHA GERAL'!$J$134</f>
        <v>18.53</v>
      </c>
      <c r="AM55" s="534">
        <f>'PLANILHA GERAL'!$J$135</f>
        <v>2.33</v>
      </c>
      <c r="AN55" s="534">
        <f>'PLANILHA GERAL'!$J$136</f>
        <v>1.22</v>
      </c>
      <c r="AO55" s="534">
        <f>'PLANILHA GERAL'!$J$137</f>
        <v>77.989999999999995</v>
      </c>
      <c r="AP55" s="534">
        <f>'PLANILHA GERAL'!$J$138</f>
        <v>18.53</v>
      </c>
      <c r="AQ55" s="534">
        <f>'PLANILHA GERAL'!$J$139</f>
        <v>2.33</v>
      </c>
      <c r="AR55" s="534">
        <f>'PLANILHA GERAL'!$J$140</f>
        <v>1.22</v>
      </c>
      <c r="AS55" s="534">
        <f>E55*AC55+G55*AD55+H55*AE55+I55*AF55+K55*AG55+L55*AH55+M55*AI55+N55*AJ55+P55*AK55+R55*AL55+S55*AM55+T55*AN55+V55*AO55+W55*AP55+Y55*AQ55+Z55*AR55</f>
        <v>0</v>
      </c>
    </row>
    <row r="56" spans="1:45" s="532" customFormat="1" ht="90" hidden="1" customHeight="1">
      <c r="A56" s="526"/>
      <c r="B56" s="527"/>
      <c r="C56" s="528"/>
      <c r="D56" s="529"/>
      <c r="E56" s="529">
        <f>C56*(D56+1)</f>
        <v>0</v>
      </c>
      <c r="F56" s="529">
        <v>0.1</v>
      </c>
      <c r="G56" s="529">
        <f>E56*F56</f>
        <v>0</v>
      </c>
      <c r="H56" s="529">
        <f>G56*1.3*$H$17</f>
        <v>0</v>
      </c>
      <c r="I56" s="529">
        <f>E56*F56</f>
        <v>0</v>
      </c>
      <c r="J56" s="529">
        <v>0.1</v>
      </c>
      <c r="K56" s="529">
        <f>J56*E56</f>
        <v>0</v>
      </c>
      <c r="L56" s="529">
        <f>K56*1.3*$L$17</f>
        <v>0</v>
      </c>
      <c r="M56" s="529">
        <f>K56*1.3*$M$17</f>
        <v>0</v>
      </c>
      <c r="N56" s="529">
        <f>K56</f>
        <v>0</v>
      </c>
      <c r="O56" s="529">
        <v>0.1</v>
      </c>
      <c r="P56" s="529">
        <f>E56*O56</f>
        <v>0</v>
      </c>
      <c r="Q56" s="529"/>
      <c r="R56" s="529">
        <f>P56</f>
        <v>0</v>
      </c>
      <c r="S56" s="529">
        <f>P56*1.3*$S$17</f>
        <v>0</v>
      </c>
      <c r="T56" s="529">
        <f>P56*1.3*$T$17</f>
        <v>0</v>
      </c>
      <c r="U56" s="529">
        <v>0.2</v>
      </c>
      <c r="V56" s="529">
        <f>E56*U56</f>
        <v>0</v>
      </c>
      <c r="W56" s="529">
        <f>V56</f>
        <v>0</v>
      </c>
      <c r="X56" s="529">
        <v>16</v>
      </c>
      <c r="Y56" s="530">
        <f>V56*1.3*$Y$17</f>
        <v>0</v>
      </c>
      <c r="Z56" s="531">
        <f>V56*1.3*$Z$17</f>
        <v>0</v>
      </c>
      <c r="AB56" s="533">
        <f>A56</f>
        <v>0</v>
      </c>
      <c r="AC56" s="534">
        <f>'PLANILHA GERAL'!$J$122</f>
        <v>6.35</v>
      </c>
      <c r="AD56" s="534">
        <f>'PLANILHA GERAL'!$J$123</f>
        <v>18.53</v>
      </c>
      <c r="AE56" s="534">
        <f>'PLANILHA GERAL'!$J$124</f>
        <v>3.7</v>
      </c>
      <c r="AF56" s="534">
        <f>'PLANILHA GERAL'!$J$125</f>
        <v>18.53</v>
      </c>
      <c r="AG56" s="534">
        <f>'PLANILHA GERAL'!$J$126</f>
        <v>47.61</v>
      </c>
      <c r="AH56" s="534">
        <f>'PLANILHA GERAL'!$J$127</f>
        <v>2.33</v>
      </c>
      <c r="AI56" s="535">
        <f>'PLANILHA GERAL'!$J$128</f>
        <v>1.22</v>
      </c>
      <c r="AJ56" s="535">
        <f>'PLANILHA GERAL'!$J$129</f>
        <v>14.52</v>
      </c>
      <c r="AK56" s="536">
        <f>'PLANILHA GERAL'!$J$132</f>
        <v>238.44</v>
      </c>
      <c r="AL56" s="536">
        <f>'PLANILHA GERAL'!$J$134</f>
        <v>18.53</v>
      </c>
      <c r="AM56" s="534">
        <f>'PLANILHA GERAL'!$J$135</f>
        <v>2.33</v>
      </c>
      <c r="AN56" s="534">
        <f>'PLANILHA GERAL'!$J$136</f>
        <v>1.22</v>
      </c>
      <c r="AO56" s="534">
        <f>'PLANILHA GERAL'!$J$137</f>
        <v>77.989999999999995</v>
      </c>
      <c r="AP56" s="534">
        <f>'PLANILHA GERAL'!$J$138</f>
        <v>18.53</v>
      </c>
      <c r="AQ56" s="534">
        <f>'PLANILHA GERAL'!$J$139</f>
        <v>2.33</v>
      </c>
      <c r="AR56" s="534">
        <f>'PLANILHA GERAL'!$J$140</f>
        <v>1.22</v>
      </c>
      <c r="AS56" s="534">
        <f>E56*AC56+G56*AD56+H56*AE56+I56*AF56+K56*AG56+L56*AH56+M56*AI56+N56*AJ56+P56*AK56+R56*AL56+S56*AM56+T56*AN56+V56*AO56+W56*AP56+Y56*AQ56+Z56*AR56</f>
        <v>0</v>
      </c>
    </row>
    <row r="57" spans="1:45" s="532" customFormat="1" ht="90" hidden="1" customHeight="1">
      <c r="A57" s="526"/>
      <c r="B57" s="527"/>
      <c r="C57" s="528"/>
      <c r="D57" s="529"/>
      <c r="E57" s="529">
        <f>C57*(D57+1)</f>
        <v>0</v>
      </c>
      <c r="F57" s="529">
        <v>0.1</v>
      </c>
      <c r="G57" s="529">
        <f>E57*F57</f>
        <v>0</v>
      </c>
      <c r="H57" s="529">
        <f>G57*1.3*$H$17</f>
        <v>0</v>
      </c>
      <c r="I57" s="529">
        <f>E57*F57</f>
        <v>0</v>
      </c>
      <c r="J57" s="529">
        <v>0.1</v>
      </c>
      <c r="K57" s="529">
        <f>J57*E57</f>
        <v>0</v>
      </c>
      <c r="L57" s="529">
        <f>K57*1.3*$L$17</f>
        <v>0</v>
      </c>
      <c r="M57" s="529">
        <f>K57*1.3*$M$17</f>
        <v>0</v>
      </c>
      <c r="N57" s="529">
        <f>K57</f>
        <v>0</v>
      </c>
      <c r="O57" s="529">
        <v>0.1</v>
      </c>
      <c r="P57" s="529">
        <f>E57*O57</f>
        <v>0</v>
      </c>
      <c r="Q57" s="529"/>
      <c r="R57" s="529">
        <f>P57</f>
        <v>0</v>
      </c>
      <c r="S57" s="529">
        <f>P57*1.3*$S$17</f>
        <v>0</v>
      </c>
      <c r="T57" s="529">
        <f>P57*1.3*$T$17</f>
        <v>0</v>
      </c>
      <c r="U57" s="529">
        <v>0.2</v>
      </c>
      <c r="V57" s="529">
        <f>E57*U57</f>
        <v>0</v>
      </c>
      <c r="W57" s="529">
        <f>V57</f>
        <v>0</v>
      </c>
      <c r="X57" s="529">
        <v>16</v>
      </c>
      <c r="Y57" s="530">
        <f>V57*1.3*$Y$17</f>
        <v>0</v>
      </c>
      <c r="Z57" s="531">
        <f>V57*1.3*$Z$17</f>
        <v>0</v>
      </c>
      <c r="AB57" s="533">
        <f>A57</f>
        <v>0</v>
      </c>
      <c r="AC57" s="534">
        <f>'PLANILHA GERAL'!$J$122</f>
        <v>6.35</v>
      </c>
      <c r="AD57" s="534">
        <f>'PLANILHA GERAL'!$J$123</f>
        <v>18.53</v>
      </c>
      <c r="AE57" s="534">
        <f>'PLANILHA GERAL'!$J$124</f>
        <v>3.7</v>
      </c>
      <c r="AF57" s="534">
        <f>'PLANILHA GERAL'!$J$125</f>
        <v>18.53</v>
      </c>
      <c r="AG57" s="534">
        <f>'PLANILHA GERAL'!$J$126</f>
        <v>47.61</v>
      </c>
      <c r="AH57" s="534">
        <f>'PLANILHA GERAL'!$J$127</f>
        <v>2.33</v>
      </c>
      <c r="AI57" s="535">
        <f>'PLANILHA GERAL'!$J$128</f>
        <v>1.22</v>
      </c>
      <c r="AJ57" s="535">
        <f>'PLANILHA GERAL'!$J$129</f>
        <v>14.52</v>
      </c>
      <c r="AK57" s="536">
        <f>'PLANILHA GERAL'!$J$132</f>
        <v>238.44</v>
      </c>
      <c r="AL57" s="536">
        <f>'PLANILHA GERAL'!$J$134</f>
        <v>18.53</v>
      </c>
      <c r="AM57" s="534">
        <f>'PLANILHA GERAL'!$J$135</f>
        <v>2.33</v>
      </c>
      <c r="AN57" s="534">
        <f>'PLANILHA GERAL'!$J$136</f>
        <v>1.22</v>
      </c>
      <c r="AO57" s="534">
        <f>'PLANILHA GERAL'!$J$137</f>
        <v>77.989999999999995</v>
      </c>
      <c r="AP57" s="534">
        <f>'PLANILHA GERAL'!$J$138</f>
        <v>18.53</v>
      </c>
      <c r="AQ57" s="534">
        <f>'PLANILHA GERAL'!$J$139</f>
        <v>2.33</v>
      </c>
      <c r="AR57" s="534">
        <f>'PLANILHA GERAL'!$J$140</f>
        <v>1.22</v>
      </c>
      <c r="AS57" s="534">
        <f>E57*AC57+G57*AD57+H57*AE57+I57*AF57+K57*AG57+L57*AH57+M57*AI57+N57*AJ57+P57*AK57+R57*AL57+S57*AM57+T57*AN57+V57*AO57+W57*AP57+Y57*AQ57+Z57*AR57</f>
        <v>0</v>
      </c>
    </row>
    <row r="58" spans="1:45" s="532" customFormat="1" ht="90" hidden="1" customHeight="1">
      <c r="A58" s="526"/>
      <c r="B58" s="527"/>
      <c r="C58" s="528"/>
      <c r="D58" s="529">
        <f>DADOS!F50</f>
        <v>0</v>
      </c>
      <c r="E58" s="529">
        <f>C58*(D58+1)*0</f>
        <v>0</v>
      </c>
      <c r="F58" s="529"/>
      <c r="G58" s="529">
        <f>E58*F58</f>
        <v>0</v>
      </c>
      <c r="H58" s="529">
        <f>G58*1.3*$H$17</f>
        <v>0</v>
      </c>
      <c r="I58" s="529">
        <f>E58*F58</f>
        <v>0</v>
      </c>
      <c r="J58" s="529">
        <f>IF(F58-(O58+U58)&lt;0,,F58-(O58+U58))</f>
        <v>0</v>
      </c>
      <c r="K58" s="529">
        <f>J58*E58</f>
        <v>0</v>
      </c>
      <c r="L58" s="529">
        <f>K58*1.3*$L$17</f>
        <v>0</v>
      </c>
      <c r="M58" s="529">
        <f>K58*1.3*$M$17</f>
        <v>0</v>
      </c>
      <c r="N58" s="529">
        <f>K58</f>
        <v>0</v>
      </c>
      <c r="O58" s="529"/>
      <c r="P58" s="529">
        <f>E58*O58</f>
        <v>0</v>
      </c>
      <c r="Q58" s="529"/>
      <c r="R58" s="529">
        <f>P58</f>
        <v>0</v>
      </c>
      <c r="S58" s="529">
        <f>P58*1.3*$S$17</f>
        <v>0</v>
      </c>
      <c r="T58" s="529">
        <f>P58*1.3*$T$17</f>
        <v>0</v>
      </c>
      <c r="U58" s="529"/>
      <c r="V58" s="529">
        <f>E58*U58</f>
        <v>0</v>
      </c>
      <c r="W58" s="529">
        <f>V58</f>
        <v>0</v>
      </c>
      <c r="X58" s="529">
        <v>16</v>
      </c>
      <c r="Y58" s="530">
        <f>V58*1.3*$Y$17</f>
        <v>0</v>
      </c>
      <c r="Z58" s="531">
        <f>V58*1.3*$Z$17</f>
        <v>0</v>
      </c>
      <c r="AB58" s="533">
        <f>A58</f>
        <v>0</v>
      </c>
      <c r="AC58" s="534">
        <f>'PLANILHA GERAL'!$J$122</f>
        <v>6.35</v>
      </c>
      <c r="AD58" s="534">
        <f>'PLANILHA GERAL'!$J$123</f>
        <v>18.53</v>
      </c>
      <c r="AE58" s="534">
        <f>'PLANILHA GERAL'!$J$124</f>
        <v>3.7</v>
      </c>
      <c r="AF58" s="534">
        <f>'PLANILHA GERAL'!$J$125</f>
        <v>18.53</v>
      </c>
      <c r="AG58" s="534">
        <f>'PLANILHA GERAL'!$J$126</f>
        <v>47.61</v>
      </c>
      <c r="AH58" s="534">
        <f>'PLANILHA GERAL'!$J$127</f>
        <v>2.33</v>
      </c>
      <c r="AI58" s="535">
        <f>'PLANILHA GERAL'!$J$128</f>
        <v>1.22</v>
      </c>
      <c r="AJ58" s="535">
        <f>'PLANILHA GERAL'!$J$129</f>
        <v>14.52</v>
      </c>
      <c r="AK58" s="536">
        <f>'PLANILHA GERAL'!$J$132</f>
        <v>238.44</v>
      </c>
      <c r="AL58" s="536">
        <f>'PLANILHA GERAL'!$J$134</f>
        <v>18.53</v>
      </c>
      <c r="AM58" s="534">
        <f>'PLANILHA GERAL'!$J$135</f>
        <v>2.33</v>
      </c>
      <c r="AN58" s="534">
        <f>'PLANILHA GERAL'!$J$136</f>
        <v>1.22</v>
      </c>
      <c r="AO58" s="534">
        <f>'PLANILHA GERAL'!$J$137</f>
        <v>77.989999999999995</v>
      </c>
      <c r="AP58" s="534">
        <f>'PLANILHA GERAL'!$J$138</f>
        <v>18.53</v>
      </c>
      <c r="AQ58" s="534">
        <f>'PLANILHA GERAL'!$J$139</f>
        <v>2.33</v>
      </c>
      <c r="AR58" s="534">
        <f>'PLANILHA GERAL'!$J$140</f>
        <v>1.22</v>
      </c>
      <c r="AS58" s="534">
        <f>E58*AC58+G58*AD58+H58*AE58+I58*AF58+K58*AG58+L58*AH58+M58*AI58+N58*AJ58+P58*AK58+R58*AL58+S58*AM58+T58*AN58+V58*AO58+W58*AP58+Y58*AQ58+Z58*AR58</f>
        <v>0</v>
      </c>
    </row>
    <row r="59" spans="1:45" s="532" customFormat="1" ht="90" hidden="1" customHeight="1" thickBot="1">
      <c r="A59" s="526"/>
      <c r="B59" s="527"/>
      <c r="C59" s="528">
        <f>DADOS!E51</f>
        <v>0</v>
      </c>
      <c r="D59" s="529">
        <f>DADOS!F51</f>
        <v>0</v>
      </c>
      <c r="E59" s="529">
        <f>C59*(D59+1)*0</f>
        <v>0</v>
      </c>
      <c r="F59" s="529"/>
      <c r="G59" s="529">
        <f>E59*F59</f>
        <v>0</v>
      </c>
      <c r="H59" s="529">
        <f>G59*1.3*$H$17</f>
        <v>0</v>
      </c>
      <c r="I59" s="529">
        <f>E59*F59</f>
        <v>0</v>
      </c>
      <c r="J59" s="529">
        <f>IF(F59-(O59+U59)&lt;0,,F59-(O59+U59))</f>
        <v>0</v>
      </c>
      <c r="K59" s="529">
        <f>J59*E59</f>
        <v>0</v>
      </c>
      <c r="L59" s="529">
        <f>K59*1.3*$L$17</f>
        <v>0</v>
      </c>
      <c r="M59" s="529">
        <f>K59*1.3*$M$17</f>
        <v>0</v>
      </c>
      <c r="N59" s="529">
        <f>K59</f>
        <v>0</v>
      </c>
      <c r="O59" s="529"/>
      <c r="P59" s="529">
        <f>E59*O59</f>
        <v>0</v>
      </c>
      <c r="Q59" s="529"/>
      <c r="R59" s="529">
        <f>P59</f>
        <v>0</v>
      </c>
      <c r="S59" s="529">
        <f>P59*1.3*$S$17</f>
        <v>0</v>
      </c>
      <c r="T59" s="529">
        <f>P59*1.3*$T$17</f>
        <v>0</v>
      </c>
      <c r="U59" s="529"/>
      <c r="V59" s="529">
        <f>E59*U59</f>
        <v>0</v>
      </c>
      <c r="W59" s="529">
        <f>V59</f>
        <v>0</v>
      </c>
      <c r="X59" s="529">
        <v>16</v>
      </c>
      <c r="Y59" s="530">
        <f>V59*1.3*$Y$17</f>
        <v>0</v>
      </c>
      <c r="Z59" s="531">
        <f>V59*1.3*$Z$17</f>
        <v>0</v>
      </c>
      <c r="AB59" s="533">
        <f>A59</f>
        <v>0</v>
      </c>
      <c r="AC59" s="534">
        <f>'PLANILHA GERAL'!$J$122</f>
        <v>6.35</v>
      </c>
      <c r="AD59" s="534">
        <f>'PLANILHA GERAL'!$J$123</f>
        <v>18.53</v>
      </c>
      <c r="AE59" s="534">
        <f>'PLANILHA GERAL'!$J$124</f>
        <v>3.7</v>
      </c>
      <c r="AF59" s="534">
        <f>'PLANILHA GERAL'!$J$125</f>
        <v>18.53</v>
      </c>
      <c r="AG59" s="534">
        <f>'PLANILHA GERAL'!$J$126</f>
        <v>47.61</v>
      </c>
      <c r="AH59" s="534">
        <f>'PLANILHA GERAL'!$J$127</f>
        <v>2.33</v>
      </c>
      <c r="AI59" s="535">
        <f>'PLANILHA GERAL'!$J$128</f>
        <v>1.22</v>
      </c>
      <c r="AJ59" s="535">
        <f>'PLANILHA GERAL'!$J$129</f>
        <v>14.52</v>
      </c>
      <c r="AK59" s="536">
        <f>'PLANILHA GERAL'!$J$132</f>
        <v>238.44</v>
      </c>
      <c r="AL59" s="536">
        <f>'PLANILHA GERAL'!$J$134</f>
        <v>18.53</v>
      </c>
      <c r="AM59" s="534">
        <f>'PLANILHA GERAL'!$J$135</f>
        <v>2.33</v>
      </c>
      <c r="AN59" s="534">
        <f>'PLANILHA GERAL'!$J$136</f>
        <v>1.22</v>
      </c>
      <c r="AO59" s="534">
        <f>'PLANILHA GERAL'!$J$137</f>
        <v>77.989999999999995</v>
      </c>
      <c r="AP59" s="534">
        <f>'PLANILHA GERAL'!$J$138</f>
        <v>18.53</v>
      </c>
      <c r="AQ59" s="534">
        <f>'PLANILHA GERAL'!$J$139</f>
        <v>2.33</v>
      </c>
      <c r="AR59" s="534">
        <f>'PLANILHA GERAL'!$J$140</f>
        <v>1.22</v>
      </c>
      <c r="AS59" s="534">
        <f>E59*AC59+G59*AD59+H59*AE59+I59*AF59+K59*AG59+L59*AH59+M59*AI59+N59*AJ59+P59*AK59+R59*AL59+S59*AM59+T59*AN59+V59*AO59+W59*AP59+Y59*AQ59+Z59*AR59</f>
        <v>0</v>
      </c>
    </row>
    <row r="60" spans="1:45" s="537" customFormat="1" ht="138" customHeight="1" thickBot="1">
      <c r="A60" s="1681" t="s">
        <v>330</v>
      </c>
      <c r="B60" s="1682"/>
      <c r="C60" s="538">
        <f>SUM(C20:C59)</f>
        <v>8050</v>
      </c>
      <c r="D60" s="476">
        <f>AVERAGE(D20:D59)</f>
        <v>2.33</v>
      </c>
      <c r="E60" s="538">
        <f>SUM(E20:E59)</f>
        <v>64400</v>
      </c>
      <c r="F60" s="538"/>
      <c r="G60" s="538">
        <f t="shared" ref="G60:I60" si="39">SUM(G20:G59)</f>
        <v>36225</v>
      </c>
      <c r="H60" s="538">
        <f t="shared" si="39"/>
        <v>461506.5</v>
      </c>
      <c r="I60" s="538">
        <f t="shared" si="39"/>
        <v>45080</v>
      </c>
      <c r="J60" s="538"/>
      <c r="K60" s="538">
        <f t="shared" ref="K60:N60" si="40">SUM(K20:K59)</f>
        <v>28175</v>
      </c>
      <c r="L60" s="538">
        <f t="shared" si="40"/>
        <v>1098825</v>
      </c>
      <c r="M60" s="538">
        <f t="shared" si="40"/>
        <v>271043.5</v>
      </c>
      <c r="N60" s="538">
        <f t="shared" si="40"/>
        <v>28175</v>
      </c>
      <c r="O60" s="538">
        <v>2.15</v>
      </c>
      <c r="P60" s="538">
        <f t="shared" ref="P60:T60" si="41">SUM(P20:P59)</f>
        <v>8050</v>
      </c>
      <c r="Q60" s="538">
        <f t="shared" si="41"/>
        <v>1610</v>
      </c>
      <c r="R60" s="538">
        <f t="shared" si="41"/>
        <v>9660</v>
      </c>
      <c r="S60" s="538">
        <f t="shared" si="41"/>
        <v>376740</v>
      </c>
      <c r="T60" s="538">
        <f t="shared" si="41"/>
        <v>1144871</v>
      </c>
      <c r="U60" s="538">
        <v>2.9</v>
      </c>
      <c r="V60" s="538">
        <f t="shared" ref="V60:Y60" si="42">SUM(V20:V59)</f>
        <v>9660</v>
      </c>
      <c r="W60" s="538">
        <f t="shared" si="42"/>
        <v>9660</v>
      </c>
      <c r="X60" s="538">
        <f t="shared" si="42"/>
        <v>495</v>
      </c>
      <c r="Y60" s="538">
        <f t="shared" si="42"/>
        <v>376740</v>
      </c>
      <c r="Z60" s="538">
        <f>SUM(Z20:Z59)</f>
        <v>92929.2</v>
      </c>
    </row>
    <row r="61" spans="1:45" s="359" customFormat="1" ht="20.100000000000001" customHeight="1">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I61" s="537"/>
    </row>
    <row r="62" spans="1:45" s="359" customFormat="1" ht="20.100000000000001" customHeight="1">
      <c r="B62" s="378"/>
      <c r="C62" s="378"/>
      <c r="D62" s="378"/>
      <c r="E62" s="539"/>
      <c r="F62" s="539"/>
      <c r="G62" s="539"/>
      <c r="H62" s="539"/>
      <c r="I62" s="539"/>
      <c r="J62" s="539"/>
      <c r="K62" s="539"/>
      <c r="L62" s="539"/>
      <c r="M62" s="539"/>
      <c r="N62" s="539"/>
      <c r="O62" s="539"/>
      <c r="P62" s="539"/>
      <c r="Q62" s="539"/>
      <c r="R62" s="539"/>
      <c r="S62" s="539"/>
      <c r="T62" s="539"/>
      <c r="U62" s="539"/>
      <c r="V62" s="539"/>
      <c r="W62" s="539"/>
      <c r="X62" s="539"/>
      <c r="Y62" s="539"/>
      <c r="Z62" s="539"/>
      <c r="AI62" s="537"/>
    </row>
    <row r="63" spans="1:45" s="359" customFormat="1" ht="20.100000000000001" customHeight="1">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I63" s="537"/>
    </row>
    <row r="64" spans="1:45" s="359" customFormat="1" ht="20.100000000000001" customHeight="1">
      <c r="B64" s="378"/>
      <c r="C64" s="378"/>
      <c r="D64" s="378"/>
      <c r="E64" s="378"/>
      <c r="F64" s="378"/>
      <c r="G64" s="378"/>
      <c r="H64" s="378"/>
      <c r="I64" s="378"/>
      <c r="J64" s="378"/>
      <c r="K64" s="378"/>
      <c r="L64" s="378"/>
      <c r="M64" s="378"/>
      <c r="N64" s="539"/>
      <c r="O64" s="378"/>
      <c r="P64" s="378"/>
      <c r="Q64" s="378"/>
      <c r="R64" s="378"/>
      <c r="S64" s="378"/>
      <c r="T64" s="378"/>
      <c r="U64" s="378"/>
      <c r="V64" s="378"/>
      <c r="W64" s="378"/>
      <c r="X64" s="378"/>
      <c r="Y64" s="378"/>
      <c r="Z64" s="539"/>
      <c r="AI64" s="537"/>
    </row>
    <row r="65" spans="2:26" s="359" customFormat="1" ht="20.100000000000001" customHeight="1">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row>
    <row r="66" spans="2:26" s="359" customFormat="1" ht="20.100000000000001" customHeight="1">
      <c r="B66" s="378"/>
      <c r="C66" s="378"/>
      <c r="D66" s="378"/>
      <c r="E66" s="378"/>
      <c r="F66" s="378"/>
      <c r="G66" s="378"/>
      <c r="H66" s="378"/>
      <c r="I66" s="378"/>
      <c r="J66" s="378"/>
      <c r="K66" s="378"/>
      <c r="L66" s="378"/>
      <c r="M66" s="378"/>
      <c r="N66" s="539"/>
      <c r="O66" s="378"/>
      <c r="P66" s="378"/>
      <c r="Q66" s="378"/>
      <c r="R66" s="378"/>
      <c r="S66" s="378"/>
      <c r="T66" s="378"/>
      <c r="U66" s="378"/>
      <c r="V66" s="378"/>
      <c r="W66" s="378"/>
      <c r="X66" s="378"/>
      <c r="Y66" s="378"/>
      <c r="Z66" s="539"/>
    </row>
    <row r="67" spans="2:26" s="359" customFormat="1" ht="20.100000000000001" customHeight="1">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row>
    <row r="68" spans="2:26" s="359" customFormat="1" ht="20.100000000000001" customHeight="1">
      <c r="B68" s="378"/>
      <c r="C68" s="378"/>
      <c r="D68" s="378"/>
      <c r="E68" s="378"/>
      <c r="F68" s="378"/>
      <c r="G68" s="378"/>
      <c r="H68" s="378"/>
      <c r="I68" s="378"/>
      <c r="J68" s="378"/>
      <c r="K68" s="378"/>
      <c r="L68" s="378"/>
      <c r="M68" s="378"/>
      <c r="N68" s="378"/>
      <c r="O68" s="378"/>
      <c r="P68" s="378"/>
      <c r="Q68" s="378"/>
      <c r="R68" s="378"/>
      <c r="S68" s="378"/>
      <c r="T68" s="378"/>
      <c r="U68" s="378"/>
      <c r="V68" s="378"/>
      <c r="W68" s="378"/>
      <c r="X68" s="378"/>
      <c r="Y68" s="378"/>
      <c r="Z68" s="378"/>
    </row>
    <row r="69" spans="2:26" s="359" customFormat="1" ht="20.100000000000001" customHeight="1">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row>
    <row r="70" spans="2:26" s="359" customFormat="1" ht="20.100000000000001" customHeight="1">
      <c r="B70" s="378"/>
      <c r="C70" s="378"/>
      <c r="D70" s="378"/>
      <c r="E70" s="378"/>
      <c r="F70" s="378"/>
      <c r="G70" s="378"/>
      <c r="H70" s="378"/>
      <c r="I70" s="378"/>
      <c r="J70" s="378"/>
      <c r="K70" s="378"/>
      <c r="L70" s="378"/>
      <c r="M70" s="378"/>
      <c r="N70" s="378"/>
      <c r="O70" s="378"/>
      <c r="P70" s="378"/>
      <c r="Q70" s="378"/>
      <c r="R70" s="378"/>
      <c r="S70" s="378"/>
      <c r="T70" s="378"/>
      <c r="U70" s="378"/>
      <c r="V70" s="378"/>
      <c r="W70" s="378"/>
      <c r="X70" s="378"/>
      <c r="Y70" s="378"/>
      <c r="Z70" s="378"/>
    </row>
    <row r="71" spans="2:26" s="359" customFormat="1" ht="20.100000000000001" customHeight="1">
      <c r="B71" s="378"/>
      <c r="C71" s="378"/>
      <c r="D71" s="378"/>
      <c r="E71" s="378"/>
      <c r="F71" s="378"/>
      <c r="G71" s="378"/>
      <c r="H71" s="378"/>
      <c r="I71" s="378"/>
      <c r="J71" s="378"/>
      <c r="K71" s="378"/>
      <c r="L71" s="378"/>
      <c r="M71" s="378"/>
      <c r="N71" s="378"/>
      <c r="O71" s="378"/>
      <c r="P71" s="378"/>
      <c r="Q71" s="378"/>
      <c r="R71" s="378"/>
      <c r="S71" s="378"/>
      <c r="T71" s="378"/>
      <c r="U71" s="378"/>
      <c r="V71" s="378"/>
      <c r="W71" s="378"/>
      <c r="X71" s="378"/>
      <c r="Y71" s="378"/>
      <c r="Z71" s="378"/>
    </row>
    <row r="72" spans="2:26" s="359" customFormat="1" ht="20.100000000000001" customHeight="1">
      <c r="B72" s="378"/>
      <c r="C72" s="378"/>
      <c r="D72" s="378"/>
      <c r="E72" s="378"/>
      <c r="F72" s="378"/>
      <c r="G72" s="378"/>
      <c r="H72" s="378"/>
      <c r="I72" s="378"/>
      <c r="J72" s="378"/>
      <c r="K72" s="378"/>
      <c r="L72" s="378"/>
      <c r="M72" s="378"/>
      <c r="N72" s="378"/>
      <c r="O72" s="378"/>
      <c r="P72" s="378"/>
      <c r="Q72" s="378"/>
      <c r="R72" s="378"/>
      <c r="S72" s="378"/>
      <c r="T72" s="378"/>
      <c r="U72" s="378"/>
      <c r="V72" s="378"/>
      <c r="W72" s="378"/>
      <c r="X72" s="378"/>
      <c r="Y72" s="378"/>
      <c r="Z72" s="378"/>
    </row>
    <row r="73" spans="2:26" s="359" customFormat="1" ht="20.100000000000001" customHeight="1">
      <c r="B73" s="378"/>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row>
    <row r="74" spans="2:26" s="359" customFormat="1" ht="20.100000000000001" customHeight="1">
      <c r="B74" s="378"/>
      <c r="C74" s="378"/>
      <c r="D74" s="378"/>
      <c r="E74" s="378"/>
      <c r="F74" s="378"/>
      <c r="G74" s="378"/>
      <c r="H74" s="378"/>
      <c r="I74" s="378"/>
      <c r="J74" s="378"/>
      <c r="K74" s="378"/>
      <c r="L74" s="378"/>
      <c r="M74" s="378"/>
      <c r="N74" s="378"/>
      <c r="O74" s="378"/>
      <c r="P74" s="378"/>
      <c r="Q74" s="378"/>
      <c r="R74" s="378"/>
      <c r="S74" s="378"/>
      <c r="T74" s="378"/>
      <c r="U74" s="378"/>
      <c r="V74" s="378"/>
      <c r="W74" s="378"/>
      <c r="X74" s="378"/>
      <c r="Y74" s="378"/>
      <c r="Z74" s="378"/>
    </row>
    <row r="75" spans="2:26" s="359" customFormat="1" ht="20.100000000000001" customHeight="1">
      <c r="B75" s="378"/>
      <c r="C75" s="378"/>
      <c r="D75" s="378"/>
      <c r="E75" s="378"/>
      <c r="F75" s="378"/>
      <c r="G75" s="378"/>
      <c r="H75" s="378"/>
      <c r="I75" s="378"/>
      <c r="J75" s="378"/>
      <c r="K75" s="378"/>
      <c r="L75" s="378"/>
      <c r="M75" s="378"/>
      <c r="N75" s="378"/>
      <c r="O75" s="378"/>
      <c r="P75" s="378"/>
      <c r="Q75" s="378"/>
      <c r="R75" s="378"/>
      <c r="S75" s="378"/>
      <c r="T75" s="378"/>
      <c r="U75" s="378"/>
      <c r="V75" s="378"/>
      <c r="W75" s="378"/>
      <c r="X75" s="378"/>
      <c r="Y75" s="378"/>
      <c r="Z75" s="378"/>
    </row>
    <row r="76" spans="2:26" s="359" customFormat="1" ht="20.100000000000001" customHeight="1">
      <c r="B76" s="378"/>
      <c r="C76" s="378"/>
      <c r="D76" s="378"/>
      <c r="E76" s="378"/>
      <c r="F76" s="378"/>
      <c r="G76" s="378"/>
      <c r="H76" s="378"/>
      <c r="I76" s="378"/>
      <c r="J76" s="378"/>
      <c r="K76" s="378"/>
      <c r="L76" s="378"/>
      <c r="M76" s="378"/>
      <c r="N76" s="378"/>
      <c r="O76" s="378"/>
      <c r="P76" s="378"/>
      <c r="Q76" s="378"/>
      <c r="R76" s="378"/>
      <c r="S76" s="378"/>
      <c r="T76" s="378"/>
      <c r="U76" s="378"/>
      <c r="V76" s="378"/>
      <c r="W76" s="378"/>
      <c r="X76" s="378"/>
      <c r="Y76" s="378"/>
      <c r="Z76" s="378"/>
    </row>
    <row r="77" spans="2:26" s="359" customFormat="1" ht="20.100000000000001" customHeight="1">
      <c r="B77" s="378"/>
      <c r="C77" s="378"/>
      <c r="D77" s="378"/>
      <c r="E77" s="378"/>
      <c r="F77" s="378"/>
      <c r="G77" s="378"/>
      <c r="H77" s="378"/>
      <c r="I77" s="378"/>
      <c r="J77" s="378"/>
      <c r="K77" s="378"/>
      <c r="L77" s="378"/>
      <c r="M77" s="378"/>
      <c r="N77" s="378"/>
      <c r="O77" s="378"/>
      <c r="P77" s="378"/>
      <c r="Q77" s="378"/>
      <c r="R77" s="378"/>
      <c r="S77" s="378"/>
      <c r="T77" s="378"/>
      <c r="U77" s="378"/>
      <c r="V77" s="378"/>
      <c r="W77" s="378"/>
      <c r="X77" s="378"/>
      <c r="Y77" s="378"/>
      <c r="Z77" s="378"/>
    </row>
    <row r="78" spans="2:26" s="359" customFormat="1" ht="20.100000000000001" customHeight="1">
      <c r="B78" s="378"/>
      <c r="C78" s="378"/>
      <c r="D78" s="378"/>
      <c r="E78" s="378"/>
      <c r="F78" s="378"/>
      <c r="G78" s="378"/>
      <c r="H78" s="378"/>
      <c r="I78" s="378"/>
      <c r="J78" s="378"/>
      <c r="K78" s="378"/>
      <c r="L78" s="378"/>
      <c r="M78" s="378"/>
      <c r="N78" s="378"/>
      <c r="O78" s="378"/>
      <c r="P78" s="378"/>
      <c r="Q78" s="378"/>
      <c r="R78" s="378"/>
      <c r="S78" s="378"/>
      <c r="T78" s="378"/>
      <c r="U78" s="378"/>
      <c r="V78" s="378"/>
      <c r="W78" s="378"/>
      <c r="X78" s="378"/>
      <c r="Y78" s="378"/>
      <c r="Z78" s="378"/>
    </row>
    <row r="79" spans="2:26" s="359" customFormat="1" ht="20.100000000000001" customHeight="1">
      <c r="B79" s="378"/>
      <c r="C79" s="378"/>
      <c r="D79" s="378"/>
      <c r="E79" s="378"/>
      <c r="F79" s="378"/>
      <c r="G79" s="378"/>
      <c r="H79" s="378"/>
      <c r="I79" s="378"/>
      <c r="J79" s="378"/>
      <c r="K79" s="378"/>
      <c r="L79" s="378"/>
      <c r="M79" s="378"/>
      <c r="N79" s="378"/>
      <c r="O79" s="378"/>
      <c r="P79" s="378"/>
      <c r="Q79" s="378"/>
      <c r="R79" s="378"/>
      <c r="S79" s="378"/>
      <c r="T79" s="378"/>
      <c r="U79" s="378"/>
      <c r="V79" s="378"/>
      <c r="W79" s="378"/>
      <c r="X79" s="378"/>
      <c r="Y79" s="378"/>
      <c r="Z79" s="378"/>
    </row>
    <row r="80" spans="2:26" s="359" customFormat="1" ht="20.100000000000001" customHeight="1">
      <c r="B80" s="378"/>
      <c r="C80" s="378"/>
      <c r="D80" s="378"/>
      <c r="E80" s="378"/>
      <c r="F80" s="378"/>
      <c r="G80" s="378"/>
      <c r="H80" s="378"/>
      <c r="I80" s="378"/>
      <c r="J80" s="378"/>
      <c r="K80" s="378"/>
      <c r="L80" s="378"/>
      <c r="M80" s="378"/>
      <c r="N80" s="378"/>
      <c r="O80" s="378"/>
      <c r="P80" s="378"/>
      <c r="Q80" s="378"/>
      <c r="R80" s="378"/>
      <c r="S80" s="378"/>
      <c r="T80" s="378"/>
      <c r="U80" s="378"/>
      <c r="V80" s="378"/>
      <c r="W80" s="378"/>
      <c r="X80" s="378"/>
      <c r="Y80" s="378"/>
      <c r="Z80" s="378"/>
    </row>
    <row r="81" spans="2:26" s="359" customFormat="1" ht="20.100000000000001" customHeight="1">
      <c r="B81" s="378"/>
      <c r="C81" s="378"/>
      <c r="D81" s="378"/>
      <c r="E81" s="378"/>
      <c r="F81" s="378"/>
      <c r="G81" s="378"/>
      <c r="H81" s="378"/>
      <c r="I81" s="378"/>
      <c r="J81" s="378"/>
      <c r="K81" s="378"/>
      <c r="L81" s="378"/>
      <c r="M81" s="378"/>
      <c r="N81" s="378"/>
      <c r="O81" s="378"/>
      <c r="P81" s="378"/>
      <c r="Q81" s="378"/>
      <c r="R81" s="378"/>
      <c r="S81" s="378"/>
      <c r="T81" s="378"/>
      <c r="U81" s="378"/>
      <c r="V81" s="378"/>
      <c r="W81" s="378"/>
      <c r="X81" s="378"/>
      <c r="Y81" s="378"/>
      <c r="Z81" s="378"/>
    </row>
    <row r="82" spans="2:26" s="359" customFormat="1" ht="20.100000000000001" customHeight="1">
      <c r="B82" s="378"/>
      <c r="C82" s="378"/>
      <c r="D82" s="378"/>
      <c r="E82" s="378"/>
      <c r="F82" s="378"/>
      <c r="G82" s="378"/>
      <c r="H82" s="378"/>
      <c r="I82" s="378"/>
      <c r="J82" s="378"/>
      <c r="K82" s="378"/>
      <c r="L82" s="378"/>
      <c r="M82" s="378"/>
      <c r="N82" s="378"/>
      <c r="O82" s="378"/>
      <c r="P82" s="378"/>
      <c r="Q82" s="378"/>
      <c r="R82" s="378"/>
      <c r="S82" s="378"/>
      <c r="T82" s="378"/>
      <c r="U82" s="378"/>
      <c r="V82" s="378"/>
      <c r="W82" s="378"/>
      <c r="X82" s="378"/>
      <c r="Y82" s="378"/>
      <c r="Z82" s="378"/>
    </row>
    <row r="83" spans="2:26" s="359" customFormat="1" ht="19.899999999999999" customHeight="1">
      <c r="B83" s="378"/>
      <c r="C83" s="378"/>
      <c r="D83" s="378"/>
      <c r="E83" s="378"/>
      <c r="F83" s="378"/>
      <c r="G83" s="378"/>
      <c r="H83" s="378"/>
      <c r="I83" s="378"/>
      <c r="J83" s="378"/>
      <c r="K83" s="378"/>
      <c r="L83" s="378"/>
      <c r="M83" s="378"/>
      <c r="N83" s="378"/>
      <c r="O83" s="378"/>
      <c r="P83" s="378"/>
      <c r="Q83" s="378"/>
      <c r="R83" s="378"/>
      <c r="S83" s="378"/>
      <c r="T83" s="378"/>
      <c r="U83" s="378"/>
      <c r="V83" s="378"/>
      <c r="W83" s="378"/>
      <c r="X83" s="378"/>
      <c r="Y83" s="378"/>
      <c r="Z83" s="378"/>
    </row>
    <row r="84" spans="2:26" s="359" customFormat="1" ht="20.100000000000001" customHeight="1">
      <c r="B84" s="378"/>
      <c r="C84" s="378"/>
      <c r="D84" s="378"/>
      <c r="E84" s="378"/>
      <c r="F84" s="378"/>
      <c r="G84" s="378"/>
      <c r="H84" s="378"/>
      <c r="I84" s="378"/>
      <c r="J84" s="378"/>
      <c r="K84" s="378"/>
      <c r="L84" s="378"/>
      <c r="M84" s="378"/>
      <c r="N84" s="378"/>
      <c r="O84" s="378"/>
      <c r="P84" s="378"/>
      <c r="Q84" s="378"/>
      <c r="R84" s="378"/>
      <c r="S84" s="378"/>
      <c r="T84" s="378"/>
      <c r="U84" s="378"/>
      <c r="V84" s="378"/>
      <c r="W84" s="378"/>
      <c r="X84" s="378"/>
      <c r="Y84" s="378"/>
      <c r="Z84" s="378"/>
    </row>
    <row r="85" spans="2:26" s="359" customFormat="1" ht="20.100000000000001" customHeight="1">
      <c r="B85" s="378"/>
      <c r="C85" s="378"/>
      <c r="D85" s="378"/>
      <c r="E85" s="378"/>
      <c r="F85" s="378"/>
      <c r="G85" s="378"/>
      <c r="H85" s="378"/>
      <c r="I85" s="378"/>
      <c r="J85" s="378"/>
      <c r="K85" s="378"/>
      <c r="L85" s="378"/>
      <c r="M85" s="378"/>
      <c r="N85" s="378"/>
      <c r="O85" s="378"/>
      <c r="P85" s="378"/>
      <c r="Q85" s="378"/>
      <c r="R85" s="378"/>
      <c r="S85" s="378"/>
      <c r="T85" s="378"/>
      <c r="U85" s="378"/>
      <c r="V85" s="378"/>
      <c r="W85" s="378"/>
      <c r="X85" s="378"/>
      <c r="Y85" s="378"/>
      <c r="Z85" s="378"/>
    </row>
    <row r="86" spans="2:26" s="359" customFormat="1" ht="20.100000000000001" customHeight="1">
      <c r="B86" s="378"/>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row>
    <row r="87" spans="2:26" s="359" customFormat="1" ht="20.100000000000001" customHeight="1">
      <c r="B87" s="378"/>
      <c r="C87" s="378"/>
      <c r="D87" s="378"/>
      <c r="E87" s="378"/>
      <c r="F87" s="378"/>
      <c r="G87" s="378"/>
      <c r="H87" s="378"/>
      <c r="I87" s="378"/>
      <c r="J87" s="378"/>
      <c r="K87" s="378"/>
      <c r="L87" s="378"/>
      <c r="M87" s="378"/>
      <c r="N87" s="378"/>
      <c r="O87" s="378"/>
      <c r="P87" s="378"/>
      <c r="Q87" s="378"/>
      <c r="R87" s="378"/>
      <c r="S87" s="378"/>
      <c r="T87" s="378"/>
      <c r="U87" s="378"/>
      <c r="V87" s="378"/>
      <c r="W87" s="378"/>
      <c r="X87" s="378"/>
      <c r="Y87" s="378"/>
      <c r="Z87" s="378"/>
    </row>
    <row r="88" spans="2:26" s="359" customFormat="1" ht="20.100000000000001" customHeight="1">
      <c r="B88" s="378"/>
      <c r="C88" s="378"/>
      <c r="D88" s="378"/>
      <c r="E88" s="378"/>
      <c r="F88" s="378"/>
      <c r="G88" s="378"/>
      <c r="H88" s="378"/>
      <c r="I88" s="378"/>
      <c r="J88" s="378"/>
      <c r="K88" s="378"/>
      <c r="L88" s="378"/>
      <c r="M88" s="378"/>
      <c r="N88" s="378"/>
      <c r="O88" s="378"/>
      <c r="P88" s="378"/>
      <c r="Q88" s="378"/>
      <c r="R88" s="378"/>
      <c r="S88" s="378"/>
      <c r="T88" s="378"/>
      <c r="U88" s="378"/>
      <c r="V88" s="378"/>
      <c r="W88" s="378"/>
      <c r="X88" s="378"/>
      <c r="Y88" s="378"/>
      <c r="Z88" s="378"/>
    </row>
    <row r="89" spans="2:26" s="359" customFormat="1" ht="20.100000000000001" customHeight="1">
      <c r="B89" s="378"/>
      <c r="C89" s="378"/>
      <c r="D89" s="378"/>
      <c r="E89" s="378"/>
      <c r="F89" s="378"/>
      <c r="G89" s="378"/>
      <c r="H89" s="378"/>
      <c r="I89" s="378"/>
      <c r="J89" s="378"/>
      <c r="K89" s="378"/>
      <c r="L89" s="378"/>
      <c r="M89" s="378"/>
      <c r="N89" s="378"/>
      <c r="O89" s="378"/>
      <c r="P89" s="378"/>
      <c r="Q89" s="378"/>
      <c r="R89" s="378"/>
      <c r="S89" s="378"/>
      <c r="T89" s="378"/>
      <c r="U89" s="378"/>
      <c r="V89" s="378"/>
      <c r="W89" s="378"/>
      <c r="X89" s="378"/>
      <c r="Y89" s="378"/>
      <c r="Z89" s="378"/>
    </row>
    <row r="90" spans="2:26" s="359" customFormat="1" ht="20.100000000000001" customHeight="1">
      <c r="B90" s="378"/>
      <c r="C90" s="378"/>
      <c r="D90" s="378"/>
      <c r="E90" s="378"/>
      <c r="F90" s="378"/>
      <c r="G90" s="378"/>
      <c r="H90" s="378"/>
      <c r="I90" s="378"/>
      <c r="J90" s="378"/>
      <c r="K90" s="378"/>
      <c r="L90" s="378"/>
      <c r="M90" s="378"/>
      <c r="N90" s="378"/>
      <c r="O90" s="378"/>
      <c r="P90" s="378"/>
      <c r="Q90" s="378"/>
      <c r="R90" s="378"/>
      <c r="S90" s="378"/>
      <c r="T90" s="378"/>
      <c r="U90" s="378"/>
      <c r="V90" s="378"/>
      <c r="W90" s="378"/>
      <c r="X90" s="378"/>
      <c r="Y90" s="378"/>
      <c r="Z90" s="378"/>
    </row>
    <row r="91" spans="2:26" s="359" customFormat="1" ht="20.100000000000001" customHeight="1">
      <c r="B91" s="378"/>
      <c r="C91" s="378"/>
      <c r="D91" s="378"/>
      <c r="E91" s="378"/>
      <c r="F91" s="378"/>
      <c r="G91" s="378"/>
      <c r="H91" s="378"/>
      <c r="I91" s="378"/>
      <c r="J91" s="378"/>
      <c r="K91" s="378"/>
      <c r="L91" s="378"/>
      <c r="M91" s="378"/>
      <c r="N91" s="378"/>
      <c r="O91" s="378"/>
      <c r="P91" s="378"/>
      <c r="Q91" s="378"/>
      <c r="R91" s="378"/>
      <c r="S91" s="378"/>
      <c r="T91" s="378"/>
      <c r="U91" s="378"/>
      <c r="V91" s="378"/>
      <c r="W91" s="378"/>
      <c r="X91" s="378"/>
      <c r="Y91" s="378"/>
      <c r="Z91" s="378"/>
    </row>
    <row r="92" spans="2:26" s="359" customFormat="1" ht="20.100000000000001" customHeight="1">
      <c r="B92" s="378"/>
      <c r="C92" s="378"/>
      <c r="D92" s="378"/>
      <c r="E92" s="378"/>
      <c r="F92" s="378"/>
      <c r="G92" s="378"/>
      <c r="H92" s="378"/>
      <c r="I92" s="378"/>
      <c r="J92" s="378"/>
      <c r="K92" s="378"/>
      <c r="L92" s="378"/>
      <c r="M92" s="378"/>
      <c r="N92" s="378"/>
      <c r="O92" s="378"/>
      <c r="P92" s="378"/>
      <c r="Q92" s="378"/>
      <c r="R92" s="378"/>
      <c r="S92" s="378"/>
      <c r="T92" s="378"/>
      <c r="U92" s="378"/>
      <c r="V92" s="378"/>
      <c r="W92" s="378"/>
      <c r="X92" s="378"/>
      <c r="Y92" s="378"/>
      <c r="Z92" s="378"/>
    </row>
    <row r="93" spans="2:26" s="359" customFormat="1" ht="20.100000000000001" customHeight="1">
      <c r="B93" s="378"/>
      <c r="C93" s="378"/>
      <c r="D93" s="378"/>
      <c r="E93" s="378"/>
      <c r="F93" s="378"/>
      <c r="G93" s="378"/>
      <c r="H93" s="378"/>
      <c r="I93" s="378"/>
      <c r="J93" s="378"/>
      <c r="K93" s="378"/>
      <c r="L93" s="378"/>
      <c r="M93" s="378"/>
      <c r="N93" s="378"/>
      <c r="O93" s="378"/>
      <c r="P93" s="378"/>
      <c r="Q93" s="378"/>
      <c r="R93" s="378"/>
      <c r="S93" s="378"/>
      <c r="T93" s="378"/>
      <c r="U93" s="378"/>
      <c r="V93" s="378"/>
      <c r="W93" s="378"/>
      <c r="X93" s="378"/>
      <c r="Y93" s="378"/>
      <c r="Z93" s="378"/>
    </row>
    <row r="94" spans="2:26" s="359" customFormat="1" ht="20.100000000000001" customHeight="1">
      <c r="B94" s="378"/>
      <c r="C94" s="378"/>
      <c r="D94" s="378"/>
      <c r="E94" s="378"/>
      <c r="F94" s="378"/>
      <c r="G94" s="378"/>
      <c r="H94" s="378"/>
      <c r="I94" s="378"/>
      <c r="J94" s="378"/>
      <c r="K94" s="378"/>
      <c r="L94" s="378"/>
      <c r="M94" s="378"/>
      <c r="N94" s="378"/>
      <c r="O94" s="378"/>
      <c r="P94" s="378"/>
      <c r="Q94" s="378"/>
      <c r="R94" s="378"/>
      <c r="S94" s="378"/>
      <c r="T94" s="378"/>
      <c r="U94" s="378"/>
      <c r="V94" s="378"/>
      <c r="W94" s="378"/>
      <c r="X94" s="378"/>
      <c r="Y94" s="378"/>
      <c r="Z94" s="378"/>
    </row>
    <row r="95" spans="2:26" ht="20.100000000000001" customHeight="1"/>
    <row r="96" spans="2:26" ht="10.15" customHeight="1"/>
    <row r="97" spans="2:26" ht="20.100000000000001" customHeight="1"/>
    <row r="98" spans="2:26" ht="20.100000000000001" customHeight="1"/>
    <row r="99" spans="2:26" ht="20.100000000000001" customHeight="1"/>
    <row r="100" spans="2:26" s="359" customFormat="1" ht="20.100000000000001" customHeight="1">
      <c r="B100" s="378"/>
      <c r="C100" s="378"/>
      <c r="D100" s="378"/>
      <c r="E100" s="378"/>
      <c r="F100" s="378"/>
      <c r="G100" s="378"/>
      <c r="H100" s="378"/>
      <c r="I100" s="378"/>
      <c r="J100" s="378"/>
      <c r="K100" s="378"/>
      <c r="L100" s="378"/>
      <c r="M100" s="378"/>
      <c r="N100" s="378"/>
      <c r="O100" s="378"/>
      <c r="P100" s="378"/>
      <c r="Q100" s="378"/>
      <c r="R100" s="378"/>
      <c r="S100" s="378"/>
      <c r="T100" s="378"/>
      <c r="U100" s="378"/>
      <c r="V100" s="378"/>
      <c r="W100" s="378"/>
      <c r="X100" s="378"/>
      <c r="Y100" s="378"/>
      <c r="Z100" s="378"/>
    </row>
    <row r="101" spans="2:26" s="359" customFormat="1" ht="20.100000000000001" customHeight="1">
      <c r="B101" s="378"/>
      <c r="C101" s="378"/>
      <c r="D101" s="378"/>
      <c r="E101" s="378"/>
      <c r="F101" s="378"/>
      <c r="G101" s="378"/>
      <c r="H101" s="378"/>
      <c r="I101" s="378"/>
      <c r="J101" s="378"/>
      <c r="K101" s="378"/>
      <c r="L101" s="378"/>
      <c r="M101" s="378"/>
      <c r="N101" s="378"/>
      <c r="O101" s="378"/>
      <c r="P101" s="378"/>
      <c r="Q101" s="378"/>
      <c r="R101" s="378"/>
      <c r="S101" s="378"/>
      <c r="T101" s="378"/>
      <c r="U101" s="378"/>
      <c r="V101" s="378"/>
      <c r="W101" s="378"/>
      <c r="X101" s="378"/>
      <c r="Y101" s="378"/>
      <c r="Z101" s="378"/>
    </row>
    <row r="102" spans="2:26" s="359" customFormat="1" ht="20.100000000000001" customHeight="1">
      <c r="B102" s="378"/>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c r="Y102" s="378"/>
      <c r="Z102" s="378"/>
    </row>
    <row r="103" spans="2:26" s="359" customFormat="1" ht="20.100000000000001" customHeight="1">
      <c r="B103" s="378"/>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8"/>
      <c r="Z103" s="378"/>
    </row>
    <row r="104" spans="2:26" s="359" customFormat="1" ht="20.100000000000001" customHeight="1">
      <c r="B104" s="378"/>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c r="Y104" s="378"/>
      <c r="Z104" s="378"/>
    </row>
    <row r="105" spans="2:26" s="359" customFormat="1" ht="20.100000000000001" customHeight="1">
      <c r="B105" s="378"/>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row>
    <row r="106" spans="2:26" s="359" customFormat="1" ht="20.100000000000001" customHeight="1">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row>
    <row r="107" spans="2:26" s="359" customFormat="1" ht="20.100000000000001" customHeight="1">
      <c r="B107" s="378"/>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row>
    <row r="108" spans="2:26" s="359" customFormat="1" ht="20.100000000000001" customHeight="1">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row>
    <row r="109" spans="2:26" s="359" customFormat="1" ht="20.100000000000001" customHeight="1">
      <c r="B109" s="378"/>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row>
    <row r="110" spans="2:26" s="359" customFormat="1" ht="20.100000000000001" customHeight="1">
      <c r="B110" s="378"/>
      <c r="C110" s="378"/>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row>
    <row r="111" spans="2:26" s="359" customFormat="1" ht="20.100000000000001" customHeight="1">
      <c r="B111" s="378"/>
      <c r="C111" s="378"/>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row>
    <row r="112" spans="2:26" s="359" customFormat="1" ht="20.100000000000001" customHeight="1">
      <c r="B112" s="378"/>
      <c r="C112" s="378"/>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row>
    <row r="113" spans="2:26" s="359" customFormat="1" ht="20.100000000000001" customHeight="1">
      <c r="B113" s="378"/>
      <c r="C113" s="378"/>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row>
    <row r="114" spans="2:26" s="359" customFormat="1" ht="20.100000000000001" customHeight="1">
      <c r="B114" s="378"/>
      <c r="C114" s="378"/>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row>
    <row r="115" spans="2:26" s="359" customFormat="1" ht="20.100000000000001" customHeight="1">
      <c r="B115" s="378"/>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row>
    <row r="116" spans="2:26" s="359" customFormat="1" ht="20.100000000000001" customHeight="1">
      <c r="B116" s="378"/>
      <c r="C116" s="378"/>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row>
    <row r="117" spans="2:26" s="359" customFormat="1" ht="20.100000000000001" customHeight="1">
      <c r="B117" s="378"/>
      <c r="C117" s="378"/>
      <c r="D117" s="378"/>
      <c r="E117" s="378"/>
      <c r="F117" s="378"/>
      <c r="G117" s="378"/>
      <c r="H117" s="378"/>
      <c r="I117" s="378"/>
      <c r="J117" s="378"/>
      <c r="K117" s="378"/>
      <c r="L117" s="378"/>
      <c r="M117" s="378"/>
      <c r="N117" s="378"/>
      <c r="O117" s="378"/>
      <c r="P117" s="378"/>
      <c r="Q117" s="378"/>
      <c r="R117" s="378"/>
      <c r="S117" s="378"/>
      <c r="T117" s="378"/>
      <c r="U117" s="378"/>
      <c r="V117" s="378"/>
      <c r="W117" s="378"/>
      <c r="X117" s="378"/>
      <c r="Y117" s="378"/>
      <c r="Z117" s="378"/>
    </row>
    <row r="118" spans="2:26" s="359" customFormat="1" ht="20.100000000000001" customHeight="1">
      <c r="B118" s="378"/>
      <c r="C118" s="378"/>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row>
    <row r="119" spans="2:26" s="359" customFormat="1" ht="20.100000000000001" customHeight="1">
      <c r="B119" s="378"/>
      <c r="C119" s="378"/>
      <c r="D119" s="378"/>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row>
    <row r="120" spans="2:26" s="359" customFormat="1" ht="20.100000000000001" customHeight="1">
      <c r="B120" s="378"/>
      <c r="C120" s="378"/>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378"/>
    </row>
    <row r="121" spans="2:26" s="359" customFormat="1" ht="20.100000000000001" customHeight="1">
      <c r="B121" s="378"/>
      <c r="C121" s="378"/>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row>
    <row r="122" spans="2:26" s="359" customFormat="1" ht="20.100000000000001" customHeight="1">
      <c r="B122" s="378"/>
      <c r="C122" s="378"/>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row>
    <row r="123" spans="2:26" s="359" customFormat="1" ht="20.100000000000001" customHeight="1">
      <c r="B123" s="378"/>
      <c r="C123" s="378"/>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378"/>
    </row>
    <row r="124" spans="2:26" s="359" customFormat="1" ht="20.100000000000001" customHeight="1">
      <c r="B124" s="378"/>
      <c r="C124" s="378"/>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378"/>
    </row>
    <row r="125" spans="2:26" s="359" customFormat="1" ht="20.100000000000001" customHeight="1">
      <c r="B125" s="378"/>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row>
    <row r="126" spans="2:26" s="359" customFormat="1" ht="20.100000000000001" customHeight="1">
      <c r="B126" s="378"/>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row>
    <row r="127" spans="2:26" s="359" customFormat="1" ht="20.100000000000001" customHeight="1">
      <c r="B127" s="378"/>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row>
    <row r="128" spans="2:26" s="359" customFormat="1" ht="20.100000000000001" customHeight="1">
      <c r="B128" s="378"/>
      <c r="C128" s="378"/>
      <c r="D128" s="378"/>
      <c r="E128" s="378"/>
      <c r="F128" s="378"/>
      <c r="G128" s="378"/>
      <c r="H128" s="378"/>
      <c r="I128" s="378"/>
      <c r="J128" s="378"/>
      <c r="K128" s="378"/>
      <c r="L128" s="378"/>
      <c r="M128" s="378"/>
      <c r="N128" s="378"/>
      <c r="O128" s="378"/>
      <c r="P128" s="378"/>
      <c r="Q128" s="378"/>
      <c r="R128" s="378"/>
      <c r="S128" s="378"/>
      <c r="T128" s="378"/>
      <c r="U128" s="378"/>
      <c r="V128" s="378"/>
      <c r="W128" s="378"/>
      <c r="X128" s="378"/>
      <c r="Y128" s="378"/>
      <c r="Z128" s="378"/>
    </row>
    <row r="129" spans="2:26" s="359" customFormat="1" ht="20.100000000000001" customHeight="1">
      <c r="B129" s="378"/>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c r="Y129" s="378"/>
      <c r="Z129" s="378"/>
    </row>
    <row r="130" spans="2:26" s="359" customFormat="1" ht="20.100000000000001" customHeight="1">
      <c r="B130" s="378"/>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c r="Z130" s="378"/>
    </row>
    <row r="131" spans="2:26" s="359" customFormat="1" ht="20.100000000000001" customHeight="1">
      <c r="B131" s="378"/>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c r="Y131" s="378"/>
      <c r="Z131" s="378"/>
    </row>
    <row r="132" spans="2:26" s="359" customFormat="1" ht="20.100000000000001" customHeight="1">
      <c r="B132" s="378"/>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c r="Z132" s="378"/>
    </row>
    <row r="133" spans="2:26" s="359" customFormat="1" ht="20.100000000000001" customHeight="1">
      <c r="B133" s="378"/>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row>
    <row r="134" spans="2:26" s="359" customFormat="1" ht="20.100000000000001" customHeight="1">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row>
    <row r="135" spans="2:26" s="359" customFormat="1" ht="20.100000000000001" customHeight="1">
      <c r="B135" s="378"/>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row>
    <row r="136" spans="2:26" s="359" customFormat="1" ht="20.100000000000001" customHeight="1">
      <c r="B136" s="378"/>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row>
    <row r="137" spans="2:26" ht="20.100000000000001" customHeight="1"/>
    <row r="138" spans="2:26" ht="10.15" customHeight="1"/>
    <row r="139" spans="2:26" ht="20.100000000000001" customHeight="1"/>
    <row r="140" spans="2:26" ht="20.100000000000001" customHeight="1"/>
    <row r="141" spans="2:26" ht="20.100000000000001" customHeight="1"/>
    <row r="142" spans="2:26" ht="20.100000000000001" customHeight="1"/>
    <row r="143" spans="2:26" s="359" customFormat="1" ht="20.100000000000001" customHeight="1">
      <c r="B143" s="378"/>
      <c r="C143" s="378"/>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row>
    <row r="144" spans="2:26" s="359" customFormat="1" ht="20.100000000000001" customHeight="1">
      <c r="B144" s="378"/>
      <c r="C144" s="378"/>
      <c r="D144" s="378"/>
      <c r="E144" s="378"/>
      <c r="F144" s="378"/>
      <c r="G144" s="378"/>
      <c r="H144" s="378"/>
      <c r="I144" s="378"/>
      <c r="J144" s="378"/>
      <c r="K144" s="378"/>
      <c r="L144" s="378"/>
      <c r="M144" s="378"/>
      <c r="N144" s="378"/>
      <c r="O144" s="378"/>
      <c r="P144" s="378"/>
      <c r="Q144" s="378"/>
      <c r="R144" s="378"/>
      <c r="S144" s="378"/>
      <c r="T144" s="378"/>
      <c r="U144" s="378"/>
      <c r="V144" s="378"/>
      <c r="W144" s="378"/>
      <c r="X144" s="378"/>
      <c r="Y144" s="378"/>
      <c r="Z144" s="378"/>
    </row>
    <row r="145" spans="2:26" s="359" customFormat="1" ht="20.100000000000001" customHeight="1">
      <c r="B145" s="378"/>
      <c r="C145" s="378"/>
      <c r="D145" s="378"/>
      <c r="E145" s="378"/>
      <c r="F145" s="378"/>
      <c r="G145" s="378"/>
      <c r="H145" s="378"/>
      <c r="I145" s="378"/>
      <c r="J145" s="378"/>
      <c r="K145" s="378"/>
      <c r="L145" s="378"/>
      <c r="M145" s="378"/>
      <c r="N145" s="378"/>
      <c r="O145" s="378"/>
      <c r="P145" s="378"/>
      <c r="Q145" s="378"/>
      <c r="R145" s="378"/>
      <c r="S145" s="378"/>
      <c r="T145" s="378"/>
      <c r="U145" s="378"/>
      <c r="V145" s="378"/>
      <c r="W145" s="378"/>
      <c r="X145" s="378"/>
      <c r="Y145" s="378"/>
      <c r="Z145" s="378"/>
    </row>
    <row r="146" spans="2:26" s="359" customFormat="1" ht="20.100000000000001" customHeight="1">
      <c r="B146" s="378"/>
      <c r="C146" s="378"/>
      <c r="D146" s="378"/>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row>
    <row r="147" spans="2:26" s="359" customFormat="1" ht="20.100000000000001" customHeight="1">
      <c r="B147" s="378"/>
      <c r="C147" s="378"/>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row>
    <row r="148" spans="2:26" s="359" customFormat="1" ht="20.100000000000001" customHeight="1">
      <c r="B148" s="378"/>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row>
    <row r="149" spans="2:26" s="359" customFormat="1" ht="20.100000000000001" customHeight="1">
      <c r="B149" s="378"/>
      <c r="C149" s="378"/>
      <c r="D149" s="378"/>
      <c r="E149" s="378"/>
      <c r="F149" s="378"/>
      <c r="G149" s="378"/>
      <c r="H149" s="378"/>
      <c r="I149" s="378"/>
      <c r="J149" s="378"/>
      <c r="K149" s="378"/>
      <c r="L149" s="378"/>
      <c r="M149" s="378"/>
      <c r="N149" s="378"/>
      <c r="O149" s="378"/>
      <c r="P149" s="378"/>
      <c r="Q149" s="378"/>
      <c r="R149" s="378"/>
      <c r="S149" s="378"/>
      <c r="T149" s="378"/>
      <c r="U149" s="378"/>
      <c r="V149" s="378"/>
      <c r="W149" s="378"/>
      <c r="X149" s="378"/>
      <c r="Y149" s="378"/>
      <c r="Z149" s="378"/>
    </row>
    <row r="150" spans="2:26" s="359" customFormat="1" ht="20.100000000000001" customHeight="1">
      <c r="B150" s="378"/>
      <c r="C150" s="378"/>
      <c r="D150" s="378"/>
      <c r="E150" s="378"/>
      <c r="F150" s="378"/>
      <c r="G150" s="378"/>
      <c r="H150" s="378"/>
      <c r="I150" s="378"/>
      <c r="J150" s="378"/>
      <c r="K150" s="378"/>
      <c r="L150" s="378"/>
      <c r="M150" s="378"/>
      <c r="N150" s="378"/>
      <c r="O150" s="378"/>
      <c r="P150" s="378"/>
      <c r="Q150" s="378"/>
      <c r="R150" s="378"/>
      <c r="S150" s="378"/>
      <c r="T150" s="378"/>
      <c r="U150" s="378"/>
      <c r="V150" s="378"/>
      <c r="W150" s="378"/>
      <c r="X150" s="378"/>
      <c r="Y150" s="378"/>
      <c r="Z150" s="378"/>
    </row>
    <row r="151" spans="2:26" s="359" customFormat="1" ht="20.100000000000001" customHeight="1">
      <c r="B151" s="378"/>
      <c r="C151" s="378"/>
      <c r="D151" s="378"/>
      <c r="E151" s="378"/>
      <c r="F151" s="378"/>
      <c r="G151" s="378"/>
      <c r="H151" s="378"/>
      <c r="I151" s="378"/>
      <c r="J151" s="378"/>
      <c r="K151" s="378"/>
      <c r="L151" s="378"/>
      <c r="M151" s="378"/>
      <c r="N151" s="378"/>
      <c r="O151" s="378"/>
      <c r="P151" s="378"/>
      <c r="Q151" s="378"/>
      <c r="R151" s="378"/>
      <c r="S151" s="378"/>
      <c r="T151" s="378"/>
      <c r="U151" s="378"/>
      <c r="V151" s="378"/>
      <c r="W151" s="378"/>
      <c r="X151" s="378"/>
      <c r="Y151" s="378"/>
      <c r="Z151" s="378"/>
    </row>
    <row r="152" spans="2:26" s="359" customFormat="1" ht="20.100000000000001" customHeight="1">
      <c r="B152" s="378"/>
      <c r="C152" s="378"/>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row>
    <row r="153" spans="2:26" s="359" customFormat="1" ht="20.100000000000001" customHeight="1">
      <c r="B153" s="378"/>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78"/>
      <c r="Z153" s="378"/>
    </row>
    <row r="154" spans="2:26" s="359" customFormat="1" ht="20.100000000000001" customHeight="1">
      <c r="B154" s="378"/>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row>
    <row r="155" spans="2:26" s="359" customFormat="1" ht="20.100000000000001" customHeight="1">
      <c r="B155" s="378"/>
      <c r="C155" s="378"/>
      <c r="D155" s="378"/>
      <c r="E155" s="378"/>
      <c r="F155" s="378"/>
      <c r="G155" s="378"/>
      <c r="H155" s="378"/>
      <c r="I155" s="378"/>
      <c r="J155" s="378"/>
      <c r="K155" s="378"/>
      <c r="L155" s="378"/>
      <c r="M155" s="378"/>
      <c r="N155" s="378"/>
      <c r="O155" s="378"/>
      <c r="P155" s="378"/>
      <c r="Q155" s="378"/>
      <c r="R155" s="378"/>
      <c r="S155" s="378"/>
      <c r="T155" s="378"/>
      <c r="U155" s="378"/>
      <c r="V155" s="378"/>
      <c r="W155" s="378"/>
      <c r="X155" s="378"/>
      <c r="Y155" s="378"/>
      <c r="Z155" s="378"/>
    </row>
    <row r="156" spans="2:26" s="359" customFormat="1" ht="20.100000000000001" customHeight="1">
      <c r="B156" s="378"/>
      <c r="C156" s="378"/>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78"/>
      <c r="Z156" s="378"/>
    </row>
    <row r="157" spans="2:26" s="359" customFormat="1" ht="20.100000000000001" customHeight="1">
      <c r="B157" s="378"/>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78"/>
      <c r="Z157" s="378"/>
    </row>
    <row r="158" spans="2:26" s="359" customFormat="1" ht="20.100000000000001" customHeight="1">
      <c r="B158" s="378"/>
      <c r="C158" s="378"/>
      <c r="D158" s="378"/>
      <c r="E158" s="378"/>
      <c r="F158" s="378"/>
      <c r="G158" s="378"/>
      <c r="H158" s="378"/>
      <c r="I158" s="378"/>
      <c r="J158" s="378"/>
      <c r="K158" s="378"/>
      <c r="L158" s="378"/>
      <c r="M158" s="378"/>
      <c r="N158" s="378"/>
      <c r="O158" s="378"/>
      <c r="P158" s="378"/>
      <c r="Q158" s="378"/>
      <c r="R158" s="378"/>
      <c r="S158" s="378"/>
      <c r="T158" s="378"/>
      <c r="U158" s="378"/>
      <c r="V158" s="378"/>
      <c r="W158" s="378"/>
      <c r="X158" s="378"/>
      <c r="Y158" s="378"/>
      <c r="Z158" s="378"/>
    </row>
    <row r="159" spans="2:26" s="359" customFormat="1" ht="19.899999999999999" customHeight="1">
      <c r="B159" s="378"/>
      <c r="C159" s="378"/>
      <c r="D159" s="378"/>
      <c r="E159" s="378"/>
      <c r="F159" s="378"/>
      <c r="G159" s="378"/>
      <c r="H159" s="378"/>
      <c r="I159" s="378"/>
      <c r="J159" s="378"/>
      <c r="K159" s="378"/>
      <c r="L159" s="378"/>
      <c r="M159" s="378"/>
      <c r="N159" s="378"/>
      <c r="O159" s="378"/>
      <c r="P159" s="378"/>
      <c r="Q159" s="378"/>
      <c r="R159" s="378"/>
      <c r="S159" s="378"/>
      <c r="T159" s="378"/>
      <c r="U159" s="378"/>
      <c r="V159" s="378"/>
      <c r="W159" s="378"/>
      <c r="X159" s="378"/>
      <c r="Y159" s="378"/>
      <c r="Z159" s="378"/>
    </row>
    <row r="160" spans="2:26" s="359" customFormat="1" ht="20.100000000000001" customHeight="1">
      <c r="B160" s="378"/>
      <c r="C160" s="378"/>
      <c r="D160" s="378"/>
      <c r="E160" s="378"/>
      <c r="F160" s="378"/>
      <c r="G160" s="378"/>
      <c r="H160" s="378"/>
      <c r="I160" s="378"/>
      <c r="J160" s="378"/>
      <c r="K160" s="378"/>
      <c r="L160" s="378"/>
      <c r="M160" s="378"/>
      <c r="N160" s="378"/>
      <c r="O160" s="378"/>
      <c r="P160" s="378"/>
      <c r="Q160" s="378"/>
      <c r="R160" s="378"/>
      <c r="S160" s="378"/>
      <c r="T160" s="378"/>
      <c r="U160" s="378"/>
      <c r="V160" s="378"/>
      <c r="W160" s="378"/>
      <c r="X160" s="378"/>
      <c r="Y160" s="378"/>
      <c r="Z160" s="378"/>
    </row>
    <row r="161" spans="2:26" s="359" customFormat="1" ht="20.100000000000001" customHeight="1">
      <c r="B161" s="378"/>
      <c r="C161" s="378"/>
      <c r="D161" s="378"/>
      <c r="E161" s="378"/>
      <c r="F161" s="378"/>
      <c r="G161" s="378"/>
      <c r="H161" s="378"/>
      <c r="I161" s="378"/>
      <c r="J161" s="378"/>
      <c r="K161" s="378"/>
      <c r="L161" s="378"/>
      <c r="M161" s="378"/>
      <c r="N161" s="378"/>
      <c r="O161" s="378"/>
      <c r="P161" s="378"/>
      <c r="Q161" s="378"/>
      <c r="R161" s="378"/>
      <c r="S161" s="378"/>
      <c r="T161" s="378"/>
      <c r="U161" s="378"/>
      <c r="V161" s="378"/>
      <c r="W161" s="378"/>
      <c r="X161" s="378"/>
      <c r="Y161" s="378"/>
      <c r="Z161" s="378"/>
    </row>
    <row r="162" spans="2:26" s="359" customFormat="1" ht="20.100000000000001" customHeight="1">
      <c r="B162" s="378"/>
      <c r="C162" s="378"/>
      <c r="D162" s="378"/>
      <c r="E162" s="378"/>
      <c r="F162" s="378"/>
      <c r="G162" s="378"/>
      <c r="H162" s="378"/>
      <c r="I162" s="378"/>
      <c r="J162" s="378"/>
      <c r="K162" s="378"/>
      <c r="L162" s="378"/>
      <c r="M162" s="378"/>
      <c r="N162" s="378"/>
      <c r="O162" s="378"/>
      <c r="P162" s="378"/>
      <c r="Q162" s="378"/>
      <c r="R162" s="378"/>
      <c r="S162" s="378"/>
      <c r="T162" s="378"/>
      <c r="U162" s="378"/>
      <c r="V162" s="378"/>
      <c r="W162" s="378"/>
      <c r="X162" s="378"/>
      <c r="Y162" s="378"/>
      <c r="Z162" s="378"/>
    </row>
    <row r="163" spans="2:26" s="359" customFormat="1" ht="20.100000000000001" customHeight="1">
      <c r="B163" s="378"/>
      <c r="C163" s="378"/>
      <c r="D163" s="378"/>
      <c r="E163" s="378"/>
      <c r="F163" s="378"/>
      <c r="G163" s="378"/>
      <c r="H163" s="378"/>
      <c r="I163" s="378"/>
      <c r="J163" s="378"/>
      <c r="K163" s="378"/>
      <c r="L163" s="378"/>
      <c r="M163" s="378"/>
      <c r="N163" s="378"/>
      <c r="O163" s="378"/>
      <c r="P163" s="378"/>
      <c r="Q163" s="378"/>
      <c r="R163" s="378"/>
      <c r="S163" s="378"/>
      <c r="T163" s="378"/>
      <c r="U163" s="378"/>
      <c r="V163" s="378"/>
      <c r="W163" s="378"/>
      <c r="X163" s="378"/>
      <c r="Y163" s="378"/>
      <c r="Z163" s="378"/>
    </row>
    <row r="164" spans="2:26" s="359" customFormat="1" ht="20.100000000000001" customHeight="1">
      <c r="B164" s="378"/>
      <c r="C164" s="378"/>
      <c r="D164" s="378"/>
      <c r="E164" s="378"/>
      <c r="F164" s="378"/>
      <c r="G164" s="378"/>
      <c r="H164" s="378"/>
      <c r="I164" s="378"/>
      <c r="J164" s="378"/>
      <c r="K164" s="378"/>
      <c r="L164" s="378"/>
      <c r="M164" s="378"/>
      <c r="N164" s="378"/>
      <c r="O164" s="378"/>
      <c r="P164" s="378"/>
      <c r="Q164" s="378"/>
      <c r="R164" s="378"/>
      <c r="S164" s="378"/>
      <c r="T164" s="378"/>
      <c r="U164" s="378"/>
      <c r="V164" s="378"/>
      <c r="W164" s="378"/>
      <c r="X164" s="378"/>
      <c r="Y164" s="378"/>
      <c r="Z164" s="378"/>
    </row>
    <row r="165" spans="2:26" s="359" customFormat="1" ht="20.100000000000001" customHeight="1">
      <c r="B165" s="378"/>
      <c r="C165" s="378"/>
      <c r="D165" s="378"/>
      <c r="E165" s="378"/>
      <c r="F165" s="378"/>
      <c r="G165" s="378"/>
      <c r="H165" s="378"/>
      <c r="I165" s="378"/>
      <c r="J165" s="378"/>
      <c r="K165" s="378"/>
      <c r="L165" s="378"/>
      <c r="M165" s="378"/>
      <c r="N165" s="378"/>
      <c r="O165" s="378"/>
      <c r="P165" s="378"/>
      <c r="Q165" s="378"/>
      <c r="R165" s="378"/>
      <c r="S165" s="378"/>
      <c r="T165" s="378"/>
      <c r="U165" s="378"/>
      <c r="V165" s="378"/>
      <c r="W165" s="378"/>
      <c r="X165" s="378"/>
      <c r="Y165" s="378"/>
      <c r="Z165" s="378"/>
    </row>
    <row r="166" spans="2:26" s="359" customFormat="1" ht="20.100000000000001" customHeight="1">
      <c r="B166" s="378"/>
      <c r="C166" s="378"/>
      <c r="D166" s="378"/>
      <c r="E166" s="378"/>
      <c r="F166" s="378"/>
      <c r="G166" s="378"/>
      <c r="H166" s="378"/>
      <c r="I166" s="378"/>
      <c r="J166" s="378"/>
      <c r="K166" s="378"/>
      <c r="L166" s="378"/>
      <c r="M166" s="378"/>
      <c r="N166" s="378"/>
      <c r="O166" s="378"/>
      <c r="P166" s="378"/>
      <c r="Q166" s="378"/>
      <c r="R166" s="378"/>
      <c r="S166" s="378"/>
      <c r="T166" s="378"/>
      <c r="U166" s="378"/>
      <c r="V166" s="378"/>
      <c r="W166" s="378"/>
      <c r="X166" s="378"/>
      <c r="Y166" s="378"/>
      <c r="Z166" s="378"/>
    </row>
    <row r="167" spans="2:26" s="359" customFormat="1" ht="20.100000000000001" customHeight="1">
      <c r="B167" s="378"/>
      <c r="C167" s="378"/>
      <c r="D167" s="378"/>
      <c r="E167" s="378"/>
      <c r="F167" s="378"/>
      <c r="G167" s="378"/>
      <c r="H167" s="378"/>
      <c r="I167" s="378"/>
      <c r="J167" s="378"/>
      <c r="K167" s="378"/>
      <c r="L167" s="378"/>
      <c r="M167" s="378"/>
      <c r="N167" s="378"/>
      <c r="O167" s="378"/>
      <c r="P167" s="378"/>
      <c r="Q167" s="378"/>
      <c r="R167" s="378"/>
      <c r="S167" s="378"/>
      <c r="T167" s="378"/>
      <c r="U167" s="378"/>
      <c r="V167" s="378"/>
      <c r="W167" s="378"/>
      <c r="X167" s="378"/>
      <c r="Y167" s="378"/>
      <c r="Z167" s="378"/>
    </row>
    <row r="168" spans="2:26" s="359" customFormat="1" ht="20.100000000000001" customHeight="1">
      <c r="B168" s="378"/>
      <c r="C168" s="378"/>
      <c r="D168" s="378"/>
      <c r="E168" s="378"/>
      <c r="F168" s="378"/>
      <c r="G168" s="378"/>
      <c r="H168" s="378"/>
      <c r="I168" s="378"/>
      <c r="J168" s="378"/>
      <c r="K168" s="378"/>
      <c r="L168" s="378"/>
      <c r="M168" s="378"/>
      <c r="N168" s="378"/>
      <c r="O168" s="378"/>
      <c r="P168" s="378"/>
      <c r="Q168" s="378"/>
      <c r="R168" s="378"/>
      <c r="S168" s="378"/>
      <c r="T168" s="378"/>
      <c r="U168" s="378"/>
      <c r="V168" s="378"/>
      <c r="W168" s="378"/>
      <c r="X168" s="378"/>
      <c r="Y168" s="378"/>
      <c r="Z168" s="378"/>
    </row>
    <row r="169" spans="2:26" s="359" customFormat="1" ht="20.100000000000001" customHeight="1">
      <c r="B169" s="378"/>
      <c r="C169" s="378"/>
      <c r="D169" s="378"/>
      <c r="E169" s="378"/>
      <c r="F169" s="378"/>
      <c r="G169" s="378"/>
      <c r="H169" s="378"/>
      <c r="I169" s="378"/>
      <c r="J169" s="378"/>
      <c r="K169" s="378"/>
      <c r="L169" s="378"/>
      <c r="M169" s="378"/>
      <c r="N169" s="378"/>
      <c r="O169" s="378"/>
      <c r="P169" s="378"/>
      <c r="Q169" s="378"/>
      <c r="R169" s="378"/>
      <c r="S169" s="378"/>
      <c r="T169" s="378"/>
      <c r="U169" s="378"/>
      <c r="V169" s="378"/>
      <c r="W169" s="378"/>
      <c r="X169" s="378"/>
      <c r="Y169" s="378"/>
      <c r="Z169" s="378"/>
    </row>
    <row r="170" spans="2:26" s="359" customFormat="1" ht="20.100000000000001" customHeight="1">
      <c r="B170" s="378"/>
      <c r="C170" s="378"/>
      <c r="D170" s="378"/>
      <c r="E170" s="378"/>
      <c r="F170" s="378"/>
      <c r="G170" s="378"/>
      <c r="H170" s="378"/>
      <c r="I170" s="378"/>
      <c r="J170" s="378"/>
      <c r="K170" s="378"/>
      <c r="L170" s="378"/>
      <c r="M170" s="378"/>
      <c r="N170" s="378"/>
      <c r="O170" s="378"/>
      <c r="P170" s="378"/>
      <c r="Q170" s="378"/>
      <c r="R170" s="378"/>
      <c r="S170" s="378"/>
      <c r="T170" s="378"/>
      <c r="U170" s="378"/>
      <c r="V170" s="378"/>
      <c r="W170" s="378"/>
      <c r="X170" s="378"/>
      <c r="Y170" s="378"/>
      <c r="Z170" s="378"/>
    </row>
    <row r="171" spans="2:26" s="359" customFormat="1" ht="20.100000000000001" customHeight="1">
      <c r="B171" s="378"/>
      <c r="C171" s="378"/>
      <c r="D171" s="378"/>
      <c r="E171" s="378"/>
      <c r="F171" s="378"/>
      <c r="G171" s="378"/>
      <c r="H171" s="378"/>
      <c r="I171" s="378"/>
      <c r="J171" s="378"/>
      <c r="K171" s="378"/>
      <c r="L171" s="378"/>
      <c r="M171" s="378"/>
      <c r="N171" s="378"/>
      <c r="O171" s="378"/>
      <c r="P171" s="378"/>
      <c r="Q171" s="378"/>
      <c r="R171" s="378"/>
      <c r="S171" s="378"/>
      <c r="T171" s="378"/>
      <c r="U171" s="378"/>
      <c r="V171" s="378"/>
      <c r="W171" s="378"/>
      <c r="X171" s="378"/>
      <c r="Y171" s="378"/>
      <c r="Z171" s="378"/>
    </row>
    <row r="172" spans="2:26" s="359" customFormat="1" ht="20.100000000000001" customHeight="1">
      <c r="B172" s="378"/>
      <c r="C172" s="378"/>
      <c r="D172" s="378"/>
      <c r="E172" s="378"/>
      <c r="F172" s="378"/>
      <c r="G172" s="378"/>
      <c r="H172" s="378"/>
      <c r="I172" s="378"/>
      <c r="J172" s="378"/>
      <c r="K172" s="378"/>
      <c r="L172" s="378"/>
      <c r="M172" s="378"/>
      <c r="N172" s="378"/>
      <c r="O172" s="378"/>
      <c r="P172" s="378"/>
      <c r="Q172" s="378"/>
      <c r="R172" s="378"/>
      <c r="S172" s="378"/>
      <c r="T172" s="378"/>
      <c r="U172" s="378"/>
      <c r="V172" s="378"/>
      <c r="W172" s="378"/>
      <c r="X172" s="378"/>
      <c r="Y172" s="378"/>
      <c r="Z172" s="378"/>
    </row>
    <row r="173" spans="2:26" s="359" customFormat="1" ht="20.100000000000001" customHeight="1">
      <c r="B173" s="378"/>
      <c r="C173" s="378"/>
      <c r="D173" s="378"/>
      <c r="E173" s="378"/>
      <c r="F173" s="378"/>
      <c r="G173" s="378"/>
      <c r="H173" s="378"/>
      <c r="I173" s="378"/>
      <c r="J173" s="378"/>
      <c r="K173" s="378"/>
      <c r="L173" s="378"/>
      <c r="M173" s="378"/>
      <c r="N173" s="378"/>
      <c r="O173" s="378"/>
      <c r="P173" s="378"/>
      <c r="Q173" s="378"/>
      <c r="R173" s="378"/>
      <c r="S173" s="378"/>
      <c r="T173" s="378"/>
      <c r="U173" s="378"/>
      <c r="V173" s="378"/>
      <c r="W173" s="378"/>
      <c r="X173" s="378"/>
      <c r="Y173" s="378"/>
      <c r="Z173" s="378"/>
    </row>
    <row r="174" spans="2:26" s="359" customFormat="1" ht="20.100000000000001" customHeight="1">
      <c r="B174" s="378"/>
      <c r="C174" s="378"/>
      <c r="D174" s="378"/>
      <c r="E174" s="378"/>
      <c r="F174" s="378"/>
      <c r="G174" s="378"/>
      <c r="H174" s="378"/>
      <c r="I174" s="378"/>
      <c r="J174" s="378"/>
      <c r="K174" s="378"/>
      <c r="L174" s="378"/>
      <c r="M174" s="378"/>
      <c r="N174" s="378"/>
      <c r="O174" s="378"/>
      <c r="P174" s="378"/>
      <c r="Q174" s="378"/>
      <c r="R174" s="378"/>
      <c r="S174" s="378"/>
      <c r="T174" s="378"/>
      <c r="U174" s="378"/>
      <c r="V174" s="378"/>
      <c r="W174" s="378"/>
      <c r="X174" s="378"/>
      <c r="Y174" s="378"/>
      <c r="Z174" s="378"/>
    </row>
    <row r="175" spans="2:26" s="359" customFormat="1" ht="20.100000000000001" customHeight="1">
      <c r="B175" s="378"/>
      <c r="C175" s="378"/>
      <c r="D175" s="378"/>
      <c r="E175" s="378"/>
      <c r="F175" s="378"/>
      <c r="G175" s="378"/>
      <c r="H175" s="378"/>
      <c r="I175" s="378"/>
      <c r="J175" s="378"/>
      <c r="K175" s="378"/>
      <c r="L175" s="378"/>
      <c r="M175" s="378"/>
      <c r="N175" s="378"/>
      <c r="O175" s="378"/>
      <c r="P175" s="378"/>
      <c r="Q175" s="378"/>
      <c r="R175" s="378"/>
      <c r="S175" s="378"/>
      <c r="T175" s="378"/>
      <c r="U175" s="378"/>
      <c r="V175" s="378"/>
      <c r="W175" s="378"/>
      <c r="X175" s="378"/>
      <c r="Y175" s="378"/>
      <c r="Z175" s="378"/>
    </row>
    <row r="176" spans="2:26" s="359" customFormat="1" ht="20.100000000000001" customHeight="1">
      <c r="B176" s="378"/>
      <c r="C176" s="378"/>
      <c r="D176" s="378"/>
      <c r="E176" s="378"/>
      <c r="F176" s="378"/>
      <c r="G176" s="378"/>
      <c r="H176" s="378"/>
      <c r="I176" s="378"/>
      <c r="J176" s="378"/>
      <c r="K176" s="378"/>
      <c r="L176" s="378"/>
      <c r="M176" s="378"/>
      <c r="N176" s="378"/>
      <c r="O176" s="378"/>
      <c r="P176" s="378"/>
      <c r="Q176" s="378"/>
      <c r="R176" s="378"/>
      <c r="S176" s="378"/>
      <c r="T176" s="378"/>
      <c r="U176" s="378"/>
      <c r="V176" s="378"/>
      <c r="W176" s="378"/>
      <c r="X176" s="378"/>
      <c r="Y176" s="378"/>
      <c r="Z176" s="378"/>
    </row>
    <row r="177" spans="2:26" s="359" customFormat="1" ht="20.100000000000001" customHeight="1">
      <c r="B177" s="378"/>
      <c r="C177" s="378"/>
      <c r="D177" s="378"/>
      <c r="E177" s="378"/>
      <c r="F177" s="378"/>
      <c r="G177" s="378"/>
      <c r="H177" s="378"/>
      <c r="I177" s="378"/>
      <c r="J177" s="378"/>
      <c r="K177" s="378"/>
      <c r="L177" s="378"/>
      <c r="M177" s="378"/>
      <c r="N177" s="378"/>
      <c r="O177" s="378"/>
      <c r="P177" s="378"/>
      <c r="Q177" s="378"/>
      <c r="R177" s="378"/>
      <c r="S177" s="378"/>
      <c r="T177" s="378"/>
      <c r="U177" s="378"/>
      <c r="V177" s="378"/>
      <c r="W177" s="378"/>
      <c r="X177" s="378"/>
      <c r="Y177" s="378"/>
      <c r="Z177" s="378"/>
    </row>
    <row r="178" spans="2:26" s="359" customFormat="1" ht="20.100000000000001" customHeight="1">
      <c r="B178" s="378"/>
      <c r="C178" s="378"/>
      <c r="D178" s="378"/>
      <c r="E178" s="378"/>
      <c r="F178" s="378"/>
      <c r="G178" s="378"/>
      <c r="H178" s="378"/>
      <c r="I178" s="378"/>
      <c r="J178" s="378"/>
      <c r="K178" s="378"/>
      <c r="L178" s="378"/>
      <c r="M178" s="378"/>
      <c r="N178" s="378"/>
      <c r="O178" s="378"/>
      <c r="P178" s="378"/>
      <c r="Q178" s="378"/>
      <c r="R178" s="378"/>
      <c r="S178" s="378"/>
      <c r="T178" s="378"/>
      <c r="U178" s="378"/>
      <c r="V178" s="378"/>
      <c r="W178" s="378"/>
      <c r="X178" s="378"/>
      <c r="Y178" s="378"/>
      <c r="Z178" s="378"/>
    </row>
    <row r="179" spans="2:26" s="359" customFormat="1" ht="20.100000000000001" customHeight="1">
      <c r="B179" s="378"/>
      <c r="C179" s="378"/>
      <c r="D179" s="378"/>
      <c r="E179" s="378"/>
      <c r="F179" s="378"/>
      <c r="G179" s="378"/>
      <c r="H179" s="378"/>
      <c r="I179" s="378"/>
      <c r="J179" s="378"/>
      <c r="K179" s="378"/>
      <c r="L179" s="378"/>
      <c r="M179" s="378"/>
      <c r="N179" s="378"/>
      <c r="O179" s="378"/>
      <c r="P179" s="378"/>
      <c r="Q179" s="378"/>
      <c r="R179" s="378"/>
      <c r="S179" s="378"/>
      <c r="T179" s="378"/>
      <c r="U179" s="378"/>
      <c r="V179" s="378"/>
      <c r="W179" s="378"/>
      <c r="X179" s="378"/>
      <c r="Y179" s="378"/>
      <c r="Z179" s="378"/>
    </row>
    <row r="180" spans="2:26" ht="20.100000000000001" customHeight="1"/>
    <row r="181" spans="2:26" ht="10.15" customHeight="1"/>
    <row r="182" spans="2:26" ht="20.100000000000001" customHeight="1"/>
    <row r="183" spans="2:26" ht="20.100000000000001" customHeight="1"/>
    <row r="184" spans="2:26" ht="20.100000000000001" customHeight="1"/>
    <row r="185" spans="2:26" s="359" customFormat="1" ht="20.100000000000001" customHeight="1">
      <c r="B185" s="378"/>
      <c r="C185" s="378"/>
      <c r="D185" s="378"/>
      <c r="E185" s="378"/>
      <c r="F185" s="378"/>
      <c r="G185" s="378"/>
      <c r="H185" s="378"/>
      <c r="I185" s="378"/>
      <c r="J185" s="378"/>
      <c r="K185" s="378"/>
      <c r="L185" s="378"/>
      <c r="M185" s="378"/>
      <c r="N185" s="378"/>
      <c r="O185" s="378"/>
      <c r="P185" s="378"/>
      <c r="Q185" s="378"/>
      <c r="R185" s="378"/>
      <c r="S185" s="378"/>
      <c r="T185" s="378"/>
      <c r="U185" s="378"/>
      <c r="V185" s="378"/>
      <c r="W185" s="378"/>
      <c r="X185" s="378"/>
      <c r="Y185" s="378"/>
      <c r="Z185" s="378"/>
    </row>
    <row r="186" spans="2:26" s="359" customFormat="1" ht="20.100000000000001" customHeight="1">
      <c r="B186" s="378"/>
      <c r="C186" s="378"/>
      <c r="D186" s="378"/>
      <c r="E186" s="378"/>
      <c r="F186" s="378"/>
      <c r="G186" s="378"/>
      <c r="H186" s="378"/>
      <c r="I186" s="378"/>
      <c r="J186" s="378"/>
      <c r="K186" s="378"/>
      <c r="L186" s="378"/>
      <c r="M186" s="378"/>
      <c r="N186" s="378"/>
      <c r="O186" s="378"/>
      <c r="P186" s="378"/>
      <c r="Q186" s="378"/>
      <c r="R186" s="378"/>
      <c r="S186" s="378"/>
      <c r="T186" s="378"/>
      <c r="U186" s="378"/>
      <c r="V186" s="378"/>
      <c r="W186" s="378"/>
      <c r="X186" s="378"/>
      <c r="Y186" s="378"/>
      <c r="Z186" s="378"/>
    </row>
    <row r="187" spans="2:26" s="359" customFormat="1" ht="20.100000000000001" customHeight="1">
      <c r="B187" s="378"/>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8"/>
      <c r="Y187" s="378"/>
      <c r="Z187" s="378"/>
    </row>
    <row r="188" spans="2:26" s="359" customFormat="1" ht="20.100000000000001" customHeight="1">
      <c r="B188" s="378"/>
      <c r="C188" s="378"/>
      <c r="D188" s="378"/>
      <c r="E188" s="378"/>
      <c r="F188" s="378"/>
      <c r="G188" s="378"/>
      <c r="H188" s="378"/>
      <c r="I188" s="378"/>
      <c r="J188" s="378"/>
      <c r="K188" s="378"/>
      <c r="L188" s="378"/>
      <c r="M188" s="378"/>
      <c r="N188" s="378"/>
      <c r="O188" s="378"/>
      <c r="P188" s="378"/>
      <c r="Q188" s="378"/>
      <c r="R188" s="378"/>
      <c r="S188" s="378"/>
      <c r="T188" s="378"/>
      <c r="U188" s="378"/>
      <c r="V188" s="378"/>
      <c r="W188" s="378"/>
      <c r="X188" s="378"/>
      <c r="Y188" s="378"/>
      <c r="Z188" s="378"/>
    </row>
    <row r="189" spans="2:26" s="359" customFormat="1" ht="20.100000000000001" customHeight="1">
      <c r="B189" s="378"/>
      <c r="C189" s="378"/>
      <c r="D189" s="378"/>
      <c r="E189" s="378"/>
      <c r="F189" s="378"/>
      <c r="G189" s="378"/>
      <c r="H189" s="378"/>
      <c r="I189" s="378"/>
      <c r="J189" s="378"/>
      <c r="K189" s="378"/>
      <c r="L189" s="378"/>
      <c r="M189" s="378"/>
      <c r="N189" s="378"/>
      <c r="O189" s="378"/>
      <c r="P189" s="378"/>
      <c r="Q189" s="378"/>
      <c r="R189" s="378"/>
      <c r="S189" s="378"/>
      <c r="T189" s="378"/>
      <c r="U189" s="378"/>
      <c r="V189" s="378"/>
      <c r="W189" s="378"/>
      <c r="X189" s="378"/>
      <c r="Y189" s="378"/>
      <c r="Z189" s="378"/>
    </row>
    <row r="190" spans="2:26" s="359" customFormat="1" ht="20.100000000000001" customHeight="1">
      <c r="B190" s="378"/>
      <c r="C190" s="378"/>
      <c r="D190" s="378"/>
      <c r="E190" s="378"/>
      <c r="F190" s="378"/>
      <c r="G190" s="378"/>
      <c r="H190" s="378"/>
      <c r="I190" s="378"/>
      <c r="J190" s="378"/>
      <c r="K190" s="378"/>
      <c r="L190" s="378"/>
      <c r="M190" s="378"/>
      <c r="N190" s="378"/>
      <c r="O190" s="378"/>
      <c r="P190" s="378"/>
      <c r="Q190" s="378"/>
      <c r="R190" s="378"/>
      <c r="S190" s="378"/>
      <c r="T190" s="378"/>
      <c r="U190" s="378"/>
      <c r="V190" s="378"/>
      <c r="W190" s="378"/>
      <c r="X190" s="378"/>
      <c r="Y190" s="378"/>
      <c r="Z190" s="378"/>
    </row>
    <row r="191" spans="2:26" s="359" customFormat="1" ht="20.100000000000001" customHeight="1">
      <c r="B191" s="378"/>
      <c r="C191" s="378"/>
      <c r="D191" s="378"/>
      <c r="E191" s="378"/>
      <c r="F191" s="378"/>
      <c r="G191" s="378"/>
      <c r="H191" s="378"/>
      <c r="I191" s="378"/>
      <c r="J191" s="378"/>
      <c r="K191" s="378"/>
      <c r="L191" s="378"/>
      <c r="M191" s="378"/>
      <c r="N191" s="378"/>
      <c r="O191" s="378"/>
      <c r="P191" s="378"/>
      <c r="Q191" s="378"/>
      <c r="R191" s="378"/>
      <c r="S191" s="378"/>
      <c r="T191" s="378"/>
      <c r="U191" s="378"/>
      <c r="V191" s="378"/>
      <c r="W191" s="378"/>
      <c r="X191" s="378"/>
      <c r="Y191" s="378"/>
      <c r="Z191" s="378"/>
    </row>
    <row r="192" spans="2:26" s="359" customFormat="1" ht="20.100000000000001" customHeight="1">
      <c r="B192" s="378"/>
      <c r="C192" s="378"/>
      <c r="D192" s="378"/>
      <c r="E192" s="378"/>
      <c r="F192" s="378"/>
      <c r="G192" s="378"/>
      <c r="H192" s="378"/>
      <c r="I192" s="378"/>
      <c r="J192" s="378"/>
      <c r="K192" s="378"/>
      <c r="L192" s="378"/>
      <c r="M192" s="378"/>
      <c r="N192" s="378"/>
      <c r="O192" s="378"/>
      <c r="P192" s="378"/>
      <c r="Q192" s="378"/>
      <c r="R192" s="378"/>
      <c r="S192" s="378"/>
      <c r="T192" s="378"/>
      <c r="U192" s="378"/>
      <c r="V192" s="378"/>
      <c r="W192" s="378"/>
      <c r="X192" s="378"/>
      <c r="Y192" s="378"/>
      <c r="Z192" s="378"/>
    </row>
    <row r="193" spans="2:26" s="359" customFormat="1" ht="20.100000000000001" customHeight="1">
      <c r="B193" s="378"/>
      <c r="C193" s="378"/>
      <c r="D193" s="378"/>
      <c r="E193" s="378"/>
      <c r="F193" s="378"/>
      <c r="G193" s="378"/>
      <c r="H193" s="378"/>
      <c r="I193" s="378"/>
      <c r="J193" s="378"/>
      <c r="K193" s="378"/>
      <c r="L193" s="378"/>
      <c r="M193" s="378"/>
      <c r="N193" s="378"/>
      <c r="O193" s="378"/>
      <c r="P193" s="378"/>
      <c r="Q193" s="378"/>
      <c r="R193" s="378"/>
      <c r="S193" s="378"/>
      <c r="T193" s="378"/>
      <c r="U193" s="378"/>
      <c r="V193" s="378"/>
      <c r="W193" s="378"/>
      <c r="X193" s="378"/>
      <c r="Y193" s="378"/>
      <c r="Z193" s="378"/>
    </row>
    <row r="194" spans="2:26" s="359" customFormat="1" ht="20.100000000000001" customHeight="1">
      <c r="B194" s="378"/>
      <c r="C194" s="378"/>
      <c r="D194" s="378"/>
      <c r="E194" s="378"/>
      <c r="F194" s="378"/>
      <c r="G194" s="378"/>
      <c r="H194" s="378"/>
      <c r="I194" s="378"/>
      <c r="J194" s="378"/>
      <c r="K194" s="378"/>
      <c r="L194" s="378"/>
      <c r="M194" s="378"/>
      <c r="N194" s="378"/>
      <c r="O194" s="378"/>
      <c r="P194" s="378"/>
      <c r="Q194" s="378"/>
      <c r="R194" s="378"/>
      <c r="S194" s="378"/>
      <c r="T194" s="378"/>
      <c r="U194" s="378"/>
      <c r="V194" s="378"/>
      <c r="W194" s="378"/>
      <c r="X194" s="378"/>
      <c r="Y194" s="378"/>
      <c r="Z194" s="378"/>
    </row>
    <row r="195" spans="2:26" s="359" customFormat="1" ht="20.100000000000001" customHeight="1">
      <c r="B195" s="378"/>
      <c r="C195" s="378"/>
      <c r="D195" s="378"/>
      <c r="E195" s="378"/>
      <c r="F195" s="378"/>
      <c r="G195" s="378"/>
      <c r="H195" s="378"/>
      <c r="I195" s="378"/>
      <c r="J195" s="378"/>
      <c r="K195" s="378"/>
      <c r="L195" s="378"/>
      <c r="M195" s="378"/>
      <c r="N195" s="378"/>
      <c r="O195" s="378"/>
      <c r="P195" s="378"/>
      <c r="Q195" s="378"/>
      <c r="R195" s="378"/>
      <c r="S195" s="378"/>
      <c r="T195" s="378"/>
      <c r="U195" s="378"/>
      <c r="V195" s="378"/>
      <c r="W195" s="378"/>
      <c r="X195" s="378"/>
      <c r="Y195" s="378"/>
      <c r="Z195" s="378"/>
    </row>
    <row r="196" spans="2:26" s="359" customFormat="1" ht="20.100000000000001" customHeight="1">
      <c r="B196" s="378"/>
      <c r="C196" s="378"/>
      <c r="D196" s="378"/>
      <c r="E196" s="378"/>
      <c r="F196" s="378"/>
      <c r="G196" s="378"/>
      <c r="H196" s="378"/>
      <c r="I196" s="378"/>
      <c r="J196" s="378"/>
      <c r="K196" s="378"/>
      <c r="L196" s="378"/>
      <c r="M196" s="378"/>
      <c r="N196" s="378"/>
      <c r="O196" s="378"/>
      <c r="P196" s="378"/>
      <c r="Q196" s="378"/>
      <c r="R196" s="378"/>
      <c r="S196" s="378"/>
      <c r="T196" s="378"/>
      <c r="U196" s="378"/>
      <c r="V196" s="378"/>
      <c r="W196" s="378"/>
      <c r="X196" s="378"/>
      <c r="Y196" s="378"/>
      <c r="Z196" s="378"/>
    </row>
    <row r="197" spans="2:26" s="359" customFormat="1" ht="20.100000000000001" customHeight="1">
      <c r="B197" s="378"/>
      <c r="C197" s="378"/>
      <c r="D197" s="378"/>
      <c r="E197" s="378"/>
      <c r="F197" s="378"/>
      <c r="G197" s="378"/>
      <c r="H197" s="378"/>
      <c r="I197" s="378"/>
      <c r="J197" s="378"/>
      <c r="K197" s="378"/>
      <c r="L197" s="378"/>
      <c r="M197" s="378"/>
      <c r="N197" s="378"/>
      <c r="O197" s="378"/>
      <c r="P197" s="378"/>
      <c r="Q197" s="378"/>
      <c r="R197" s="378"/>
      <c r="S197" s="378"/>
      <c r="T197" s="378"/>
      <c r="U197" s="378"/>
      <c r="V197" s="378"/>
      <c r="W197" s="378"/>
      <c r="X197" s="378"/>
      <c r="Y197" s="378"/>
      <c r="Z197" s="378"/>
    </row>
    <row r="198" spans="2:26" s="359" customFormat="1" ht="20.100000000000001" customHeight="1">
      <c r="B198" s="378"/>
      <c r="C198" s="378"/>
      <c r="D198" s="378"/>
      <c r="E198" s="378"/>
      <c r="F198" s="378"/>
      <c r="G198" s="378"/>
      <c r="H198" s="378"/>
      <c r="I198" s="378"/>
      <c r="J198" s="378"/>
      <c r="K198" s="378"/>
      <c r="L198" s="378"/>
      <c r="M198" s="378"/>
      <c r="N198" s="378"/>
      <c r="O198" s="378"/>
      <c r="P198" s="378"/>
      <c r="Q198" s="378"/>
      <c r="R198" s="378"/>
      <c r="S198" s="378"/>
      <c r="T198" s="378"/>
      <c r="U198" s="378"/>
      <c r="V198" s="378"/>
      <c r="W198" s="378"/>
      <c r="X198" s="378"/>
      <c r="Y198" s="378"/>
      <c r="Z198" s="378"/>
    </row>
    <row r="199" spans="2:26" s="359" customFormat="1" ht="20.100000000000001" customHeight="1">
      <c r="B199" s="378"/>
      <c r="C199" s="378"/>
      <c r="D199" s="378"/>
      <c r="E199" s="378"/>
      <c r="F199" s="378"/>
      <c r="G199" s="378"/>
      <c r="H199" s="378"/>
      <c r="I199" s="378"/>
      <c r="J199" s="378"/>
      <c r="K199" s="378"/>
      <c r="L199" s="378"/>
      <c r="M199" s="378"/>
      <c r="N199" s="378"/>
      <c r="O199" s="378"/>
      <c r="P199" s="378"/>
      <c r="Q199" s="378"/>
      <c r="R199" s="378"/>
      <c r="S199" s="378"/>
      <c r="T199" s="378"/>
      <c r="U199" s="378"/>
      <c r="V199" s="378"/>
      <c r="W199" s="378"/>
      <c r="X199" s="378"/>
      <c r="Y199" s="378"/>
      <c r="Z199" s="378"/>
    </row>
    <row r="200" spans="2:26" s="359" customFormat="1" ht="20.100000000000001" customHeight="1">
      <c r="B200" s="378"/>
      <c r="C200" s="378"/>
      <c r="D200" s="378"/>
      <c r="E200" s="378"/>
      <c r="F200" s="378"/>
      <c r="G200" s="378"/>
      <c r="H200" s="378"/>
      <c r="I200" s="378"/>
      <c r="J200" s="378"/>
      <c r="K200" s="378"/>
      <c r="L200" s="378"/>
      <c r="M200" s="378"/>
      <c r="N200" s="378"/>
      <c r="O200" s="378"/>
      <c r="P200" s="378"/>
      <c r="Q200" s="378"/>
      <c r="R200" s="378"/>
      <c r="S200" s="378"/>
      <c r="T200" s="378"/>
      <c r="U200" s="378"/>
      <c r="V200" s="378"/>
      <c r="W200" s="378"/>
      <c r="X200" s="378"/>
      <c r="Y200" s="378"/>
      <c r="Z200" s="378"/>
    </row>
    <row r="201" spans="2:26" s="359" customFormat="1" ht="20.100000000000001" customHeight="1">
      <c r="B201" s="378"/>
      <c r="C201" s="378"/>
      <c r="D201" s="378"/>
      <c r="E201" s="378"/>
      <c r="F201" s="378"/>
      <c r="G201" s="378"/>
      <c r="H201" s="378"/>
      <c r="I201" s="378"/>
      <c r="J201" s="378"/>
      <c r="K201" s="378"/>
      <c r="L201" s="378"/>
      <c r="M201" s="378"/>
      <c r="N201" s="378"/>
      <c r="O201" s="378"/>
      <c r="P201" s="378"/>
      <c r="Q201" s="378"/>
      <c r="R201" s="378"/>
      <c r="S201" s="378"/>
      <c r="T201" s="378"/>
      <c r="U201" s="378"/>
      <c r="V201" s="378"/>
      <c r="W201" s="378"/>
      <c r="X201" s="378"/>
      <c r="Y201" s="378"/>
      <c r="Z201" s="378"/>
    </row>
    <row r="202" spans="2:26" s="359" customFormat="1" ht="20.100000000000001" customHeight="1">
      <c r="B202" s="378"/>
      <c r="C202" s="378"/>
      <c r="D202" s="378"/>
      <c r="E202" s="378"/>
      <c r="F202" s="378"/>
      <c r="G202" s="378"/>
      <c r="H202" s="378"/>
      <c r="I202" s="378"/>
      <c r="J202" s="378"/>
      <c r="K202" s="378"/>
      <c r="L202" s="378"/>
      <c r="M202" s="378"/>
      <c r="N202" s="378"/>
      <c r="O202" s="378"/>
      <c r="P202" s="378"/>
      <c r="Q202" s="378"/>
      <c r="R202" s="378"/>
      <c r="S202" s="378"/>
      <c r="T202" s="378"/>
      <c r="U202" s="378"/>
      <c r="V202" s="378"/>
      <c r="W202" s="378"/>
      <c r="X202" s="378"/>
      <c r="Y202" s="378"/>
      <c r="Z202" s="378"/>
    </row>
    <row r="203" spans="2:26" s="359" customFormat="1" ht="20.100000000000001" customHeight="1">
      <c r="B203" s="378"/>
      <c r="C203" s="378"/>
      <c r="D203" s="378"/>
      <c r="E203" s="378"/>
      <c r="F203" s="378"/>
      <c r="G203" s="378"/>
      <c r="H203" s="378"/>
      <c r="I203" s="378"/>
      <c r="J203" s="378"/>
      <c r="K203" s="378"/>
      <c r="L203" s="378"/>
      <c r="M203" s="378"/>
      <c r="N203" s="378"/>
      <c r="O203" s="378"/>
      <c r="P203" s="378"/>
      <c r="Q203" s="378"/>
      <c r="R203" s="378"/>
      <c r="S203" s="378"/>
      <c r="T203" s="378"/>
      <c r="U203" s="378"/>
      <c r="V203" s="378"/>
      <c r="W203" s="378"/>
      <c r="X203" s="378"/>
      <c r="Y203" s="378"/>
      <c r="Z203" s="378"/>
    </row>
    <row r="204" spans="2:26" s="359" customFormat="1" ht="20.100000000000001" customHeight="1">
      <c r="B204" s="378"/>
      <c r="C204" s="378"/>
      <c r="D204" s="378"/>
      <c r="E204" s="378"/>
      <c r="F204" s="378"/>
      <c r="G204" s="378"/>
      <c r="H204" s="378"/>
      <c r="I204" s="378"/>
      <c r="J204" s="378"/>
      <c r="K204" s="378"/>
      <c r="L204" s="378"/>
      <c r="M204" s="378"/>
      <c r="N204" s="378"/>
      <c r="O204" s="378"/>
      <c r="P204" s="378"/>
      <c r="Q204" s="378"/>
      <c r="R204" s="378"/>
      <c r="S204" s="378"/>
      <c r="T204" s="378"/>
      <c r="U204" s="378"/>
      <c r="V204" s="378"/>
      <c r="W204" s="378"/>
      <c r="X204" s="378"/>
      <c r="Y204" s="378"/>
      <c r="Z204" s="378"/>
    </row>
    <row r="205" spans="2:26" s="359" customFormat="1" ht="20.100000000000001" customHeight="1">
      <c r="B205" s="378"/>
      <c r="C205" s="378"/>
      <c r="D205" s="378"/>
      <c r="E205" s="378"/>
      <c r="F205" s="378"/>
      <c r="G205" s="378"/>
      <c r="H205" s="378"/>
      <c r="I205" s="378"/>
      <c r="J205" s="378"/>
      <c r="K205" s="378"/>
      <c r="L205" s="378"/>
      <c r="M205" s="378"/>
      <c r="N205" s="378"/>
      <c r="O205" s="378"/>
      <c r="P205" s="378"/>
      <c r="Q205" s="378"/>
      <c r="R205" s="378"/>
      <c r="S205" s="378"/>
      <c r="T205" s="378"/>
      <c r="U205" s="378"/>
      <c r="V205" s="378"/>
      <c r="W205" s="378"/>
      <c r="X205" s="378"/>
      <c r="Y205" s="378"/>
      <c r="Z205" s="378"/>
    </row>
    <row r="206" spans="2:26" s="359" customFormat="1" ht="20.100000000000001" customHeight="1">
      <c r="B206" s="378"/>
      <c r="C206" s="378"/>
      <c r="D206" s="378"/>
      <c r="E206" s="378"/>
      <c r="F206" s="378"/>
      <c r="G206" s="378"/>
      <c r="H206" s="378"/>
      <c r="I206" s="378"/>
      <c r="J206" s="378"/>
      <c r="K206" s="378"/>
      <c r="L206" s="378"/>
      <c r="M206" s="378"/>
      <c r="N206" s="378"/>
      <c r="O206" s="378"/>
      <c r="P206" s="378"/>
      <c r="Q206" s="378"/>
      <c r="R206" s="378"/>
      <c r="S206" s="378"/>
      <c r="T206" s="378"/>
      <c r="U206" s="378"/>
      <c r="V206" s="378"/>
      <c r="W206" s="378"/>
      <c r="X206" s="378"/>
      <c r="Y206" s="378"/>
      <c r="Z206" s="378"/>
    </row>
    <row r="207" spans="2:26" s="359" customFormat="1" ht="20.100000000000001" customHeight="1">
      <c r="B207" s="378"/>
      <c r="C207" s="378"/>
      <c r="D207" s="378"/>
      <c r="E207" s="378"/>
      <c r="F207" s="378"/>
      <c r="G207" s="378"/>
      <c r="H207" s="378"/>
      <c r="I207" s="378"/>
      <c r="J207" s="378"/>
      <c r="K207" s="378"/>
      <c r="L207" s="378"/>
      <c r="M207" s="378"/>
      <c r="N207" s="378"/>
      <c r="O207" s="378"/>
      <c r="P207" s="378"/>
      <c r="Q207" s="378"/>
      <c r="R207" s="378"/>
      <c r="S207" s="378"/>
      <c r="T207" s="378"/>
      <c r="U207" s="378"/>
      <c r="V207" s="378"/>
      <c r="W207" s="378"/>
      <c r="X207" s="378"/>
      <c r="Y207" s="378"/>
      <c r="Z207" s="378"/>
    </row>
    <row r="208" spans="2:26" s="359" customFormat="1" ht="20.100000000000001" customHeight="1">
      <c r="B208" s="378"/>
      <c r="C208" s="378"/>
      <c r="D208" s="378"/>
      <c r="E208" s="378"/>
      <c r="F208" s="378"/>
      <c r="G208" s="378"/>
      <c r="H208" s="378"/>
      <c r="I208" s="378"/>
      <c r="J208" s="378"/>
      <c r="K208" s="378"/>
      <c r="L208" s="378"/>
      <c r="M208" s="378"/>
      <c r="N208" s="378"/>
      <c r="O208" s="378"/>
      <c r="P208" s="378"/>
      <c r="Q208" s="378"/>
      <c r="R208" s="378"/>
      <c r="S208" s="378"/>
      <c r="T208" s="378"/>
      <c r="U208" s="378"/>
      <c r="V208" s="378"/>
      <c r="W208" s="378"/>
      <c r="X208" s="378"/>
      <c r="Y208" s="378"/>
      <c r="Z208" s="378"/>
    </row>
    <row r="209" spans="2:26" s="359" customFormat="1" ht="20.100000000000001" customHeight="1">
      <c r="B209" s="378"/>
      <c r="C209" s="378"/>
      <c r="D209" s="378"/>
      <c r="E209" s="378"/>
      <c r="F209" s="378"/>
      <c r="G209" s="378"/>
      <c r="H209" s="378"/>
      <c r="I209" s="378"/>
      <c r="J209" s="378"/>
      <c r="K209" s="378"/>
      <c r="L209" s="378"/>
      <c r="M209" s="378"/>
      <c r="N209" s="378"/>
      <c r="O209" s="378"/>
      <c r="P209" s="378"/>
      <c r="Q209" s="378"/>
      <c r="R209" s="378"/>
      <c r="S209" s="378"/>
      <c r="T209" s="378"/>
      <c r="U209" s="378"/>
      <c r="V209" s="378"/>
      <c r="W209" s="378"/>
      <c r="X209" s="378"/>
      <c r="Y209" s="378"/>
      <c r="Z209" s="378"/>
    </row>
    <row r="210" spans="2:26" s="359" customFormat="1" ht="20.100000000000001" customHeight="1">
      <c r="B210" s="378"/>
      <c r="C210" s="378"/>
      <c r="D210" s="378"/>
      <c r="E210" s="378"/>
      <c r="F210" s="378"/>
      <c r="G210" s="378"/>
      <c r="H210" s="378"/>
      <c r="I210" s="378"/>
      <c r="J210" s="378"/>
      <c r="K210" s="378"/>
      <c r="L210" s="378"/>
      <c r="M210" s="378"/>
      <c r="N210" s="378"/>
      <c r="O210" s="378"/>
      <c r="P210" s="378"/>
      <c r="Q210" s="378"/>
      <c r="R210" s="378"/>
      <c r="S210" s="378"/>
      <c r="T210" s="378"/>
      <c r="U210" s="378"/>
      <c r="V210" s="378"/>
      <c r="W210" s="378"/>
      <c r="X210" s="378"/>
      <c r="Y210" s="378"/>
      <c r="Z210" s="378"/>
    </row>
    <row r="211" spans="2:26" s="359" customFormat="1" ht="20.100000000000001" customHeight="1">
      <c r="B211" s="378"/>
      <c r="C211" s="378"/>
      <c r="D211" s="378"/>
      <c r="E211" s="378"/>
      <c r="F211" s="378"/>
      <c r="G211" s="378"/>
      <c r="H211" s="378"/>
      <c r="I211" s="378"/>
      <c r="J211" s="378"/>
      <c r="K211" s="378"/>
      <c r="L211" s="378"/>
      <c r="M211" s="378"/>
      <c r="N211" s="378"/>
      <c r="O211" s="378"/>
      <c r="P211" s="378"/>
      <c r="Q211" s="378"/>
      <c r="R211" s="378"/>
      <c r="S211" s="378"/>
      <c r="T211" s="378"/>
      <c r="U211" s="378"/>
      <c r="V211" s="378"/>
      <c r="W211" s="378"/>
      <c r="X211" s="378"/>
      <c r="Y211" s="378"/>
      <c r="Z211" s="378"/>
    </row>
    <row r="212" spans="2:26" s="359" customFormat="1" ht="20.100000000000001" customHeight="1">
      <c r="B212" s="378"/>
      <c r="C212" s="378"/>
      <c r="D212" s="378"/>
      <c r="E212" s="378"/>
      <c r="F212" s="378"/>
      <c r="G212" s="378"/>
      <c r="H212" s="378"/>
      <c r="I212" s="378"/>
      <c r="J212" s="378"/>
      <c r="K212" s="378"/>
      <c r="L212" s="378"/>
      <c r="M212" s="378"/>
      <c r="N212" s="378"/>
      <c r="O212" s="378"/>
      <c r="P212" s="378"/>
      <c r="Q212" s="378"/>
      <c r="R212" s="378"/>
      <c r="S212" s="378"/>
      <c r="T212" s="378"/>
      <c r="U212" s="378"/>
      <c r="V212" s="378"/>
      <c r="W212" s="378"/>
      <c r="X212" s="378"/>
      <c r="Y212" s="378"/>
      <c r="Z212" s="378"/>
    </row>
    <row r="213" spans="2:26" s="359" customFormat="1" ht="20.100000000000001" customHeight="1">
      <c r="B213" s="378"/>
      <c r="C213" s="378"/>
      <c r="D213" s="378"/>
      <c r="E213" s="378"/>
      <c r="F213" s="378"/>
      <c r="G213" s="378"/>
      <c r="H213" s="378"/>
      <c r="I213" s="378"/>
      <c r="J213" s="378"/>
      <c r="K213" s="378"/>
      <c r="L213" s="378"/>
      <c r="M213" s="378"/>
      <c r="N213" s="378"/>
      <c r="O213" s="378"/>
      <c r="P213" s="378"/>
      <c r="Q213" s="378"/>
      <c r="R213" s="378"/>
      <c r="S213" s="378"/>
      <c r="T213" s="378"/>
      <c r="U213" s="378"/>
      <c r="V213" s="378"/>
      <c r="W213" s="378"/>
      <c r="X213" s="378"/>
      <c r="Y213" s="378"/>
      <c r="Z213" s="378"/>
    </row>
    <row r="214" spans="2:26" s="359" customFormat="1" ht="20.100000000000001" customHeight="1">
      <c r="B214" s="378"/>
      <c r="C214" s="378"/>
      <c r="D214" s="378"/>
      <c r="E214" s="378"/>
      <c r="F214" s="378"/>
      <c r="G214" s="378"/>
      <c r="H214" s="378"/>
      <c r="I214" s="378"/>
      <c r="J214" s="378"/>
      <c r="K214" s="378"/>
      <c r="L214" s="378"/>
      <c r="M214" s="378"/>
      <c r="N214" s="378"/>
      <c r="O214" s="378"/>
      <c r="P214" s="378"/>
      <c r="Q214" s="378"/>
      <c r="R214" s="378"/>
      <c r="S214" s="378"/>
      <c r="T214" s="378"/>
      <c r="U214" s="378"/>
      <c r="V214" s="378"/>
      <c r="W214" s="378"/>
      <c r="X214" s="378"/>
      <c r="Y214" s="378"/>
      <c r="Z214" s="378"/>
    </row>
    <row r="215" spans="2:26" s="359" customFormat="1" ht="20.100000000000001" customHeight="1">
      <c r="B215" s="378"/>
      <c r="C215" s="378"/>
      <c r="D215" s="378"/>
      <c r="E215" s="378"/>
      <c r="F215" s="378"/>
      <c r="G215" s="378"/>
      <c r="H215" s="378"/>
      <c r="I215" s="378"/>
      <c r="J215" s="378"/>
      <c r="K215" s="378"/>
      <c r="L215" s="378"/>
      <c r="M215" s="378"/>
      <c r="N215" s="378"/>
      <c r="O215" s="378"/>
      <c r="P215" s="378"/>
      <c r="Q215" s="378"/>
      <c r="R215" s="378"/>
      <c r="S215" s="378"/>
      <c r="T215" s="378"/>
      <c r="U215" s="378"/>
      <c r="V215" s="378"/>
      <c r="W215" s="378"/>
      <c r="X215" s="378"/>
      <c r="Y215" s="378"/>
      <c r="Z215" s="378"/>
    </row>
    <row r="216" spans="2:26" s="359" customFormat="1" ht="20.100000000000001" customHeight="1">
      <c r="B216" s="378"/>
      <c r="C216" s="378"/>
      <c r="D216" s="378"/>
      <c r="E216" s="378"/>
      <c r="F216" s="378"/>
      <c r="G216" s="378"/>
      <c r="H216" s="378"/>
      <c r="I216" s="378"/>
      <c r="J216" s="378"/>
      <c r="K216" s="378"/>
      <c r="L216" s="378"/>
      <c r="M216" s="378"/>
      <c r="N216" s="378"/>
      <c r="O216" s="378"/>
      <c r="P216" s="378"/>
      <c r="Q216" s="378"/>
      <c r="R216" s="378"/>
      <c r="S216" s="378"/>
      <c r="T216" s="378"/>
      <c r="U216" s="378"/>
      <c r="V216" s="378"/>
      <c r="W216" s="378"/>
      <c r="X216" s="378"/>
      <c r="Y216" s="378"/>
      <c r="Z216" s="378"/>
    </row>
    <row r="217" spans="2:26" s="359" customFormat="1" ht="20.100000000000001" customHeight="1">
      <c r="B217" s="378"/>
      <c r="C217" s="378"/>
      <c r="D217" s="378"/>
      <c r="E217" s="378"/>
      <c r="F217" s="378"/>
      <c r="G217" s="378"/>
      <c r="H217" s="378"/>
      <c r="I217" s="378"/>
      <c r="J217" s="378"/>
      <c r="K217" s="378"/>
      <c r="L217" s="378"/>
      <c r="M217" s="378"/>
      <c r="N217" s="378"/>
      <c r="O217" s="378"/>
      <c r="P217" s="378"/>
      <c r="Q217" s="378"/>
      <c r="R217" s="378"/>
      <c r="S217" s="378"/>
      <c r="T217" s="378"/>
      <c r="U217" s="378"/>
      <c r="V217" s="378"/>
      <c r="W217" s="378"/>
      <c r="X217" s="378"/>
      <c r="Y217" s="378"/>
      <c r="Z217" s="378"/>
    </row>
    <row r="218" spans="2:26" s="359" customFormat="1" ht="20.100000000000001" customHeight="1">
      <c r="B218" s="378"/>
      <c r="C218" s="378"/>
      <c r="D218" s="378"/>
      <c r="E218" s="378"/>
      <c r="F218" s="378"/>
      <c r="G218" s="378"/>
      <c r="H218" s="378"/>
      <c r="I218" s="378"/>
      <c r="J218" s="378"/>
      <c r="K218" s="378"/>
      <c r="L218" s="378"/>
      <c r="M218" s="378"/>
      <c r="N218" s="378"/>
      <c r="O218" s="378"/>
      <c r="P218" s="378"/>
      <c r="Q218" s="378"/>
      <c r="R218" s="378"/>
      <c r="S218" s="378"/>
      <c r="T218" s="378"/>
      <c r="U218" s="378"/>
      <c r="V218" s="378"/>
      <c r="W218" s="378"/>
      <c r="X218" s="378"/>
      <c r="Y218" s="378"/>
      <c r="Z218" s="378"/>
    </row>
    <row r="219" spans="2:26" s="359" customFormat="1" ht="20.100000000000001" customHeight="1">
      <c r="B219" s="378"/>
      <c r="C219" s="378"/>
      <c r="D219" s="378"/>
      <c r="E219" s="378"/>
      <c r="F219" s="378"/>
      <c r="G219" s="378"/>
      <c r="H219" s="378"/>
      <c r="I219" s="378"/>
      <c r="J219" s="378"/>
      <c r="K219" s="378"/>
      <c r="L219" s="378"/>
      <c r="M219" s="378"/>
      <c r="N219" s="378"/>
      <c r="O219" s="378"/>
      <c r="P219" s="378"/>
      <c r="Q219" s="378"/>
      <c r="R219" s="378"/>
      <c r="S219" s="378"/>
      <c r="T219" s="378"/>
      <c r="U219" s="378"/>
      <c r="V219" s="378"/>
      <c r="W219" s="378"/>
      <c r="X219" s="378"/>
      <c r="Y219" s="378"/>
      <c r="Z219" s="378"/>
    </row>
    <row r="220" spans="2:26" s="359" customFormat="1" ht="20.100000000000001" customHeight="1">
      <c r="B220" s="378"/>
      <c r="C220" s="378"/>
      <c r="D220" s="378"/>
      <c r="E220" s="378"/>
      <c r="F220" s="378"/>
      <c r="G220" s="378"/>
      <c r="H220" s="378"/>
      <c r="I220" s="378"/>
      <c r="J220" s="378"/>
      <c r="K220" s="378"/>
      <c r="L220" s="378"/>
      <c r="M220" s="378"/>
      <c r="N220" s="378"/>
      <c r="O220" s="378"/>
      <c r="P220" s="378"/>
      <c r="Q220" s="378"/>
      <c r="R220" s="378"/>
      <c r="S220" s="378"/>
      <c r="T220" s="378"/>
      <c r="U220" s="378"/>
      <c r="V220" s="378"/>
      <c r="W220" s="378"/>
      <c r="X220" s="378"/>
      <c r="Y220" s="378"/>
      <c r="Z220" s="378"/>
    </row>
    <row r="221" spans="2:26" s="359" customFormat="1" ht="20.100000000000001" customHeight="1">
      <c r="B221" s="378"/>
      <c r="C221" s="378"/>
      <c r="D221" s="378"/>
      <c r="E221" s="378"/>
      <c r="F221" s="378"/>
      <c r="G221" s="378"/>
      <c r="H221" s="378"/>
      <c r="I221" s="378"/>
      <c r="J221" s="378"/>
      <c r="K221" s="378"/>
      <c r="L221" s="378"/>
      <c r="M221" s="378"/>
      <c r="N221" s="378"/>
      <c r="O221" s="378"/>
      <c r="P221" s="378"/>
      <c r="Q221" s="378"/>
      <c r="R221" s="378"/>
      <c r="S221" s="378"/>
      <c r="T221" s="378"/>
      <c r="U221" s="378"/>
      <c r="V221" s="378"/>
      <c r="W221" s="378"/>
      <c r="X221" s="378"/>
      <c r="Y221" s="378"/>
      <c r="Z221" s="378"/>
    </row>
    <row r="222" spans="2:26" ht="20.100000000000001" customHeight="1"/>
    <row r="223" spans="2:26" ht="10.15" customHeight="1"/>
    <row r="224" spans="2:26" ht="20.100000000000001" customHeight="1"/>
    <row r="225" spans="2:26" ht="20.100000000000001" customHeight="1"/>
    <row r="226" spans="2:26" ht="20.100000000000001" customHeight="1"/>
    <row r="227" spans="2:26" s="359" customFormat="1" ht="20.100000000000001" customHeight="1">
      <c r="B227" s="378"/>
      <c r="C227" s="378"/>
      <c r="D227" s="378"/>
      <c r="E227" s="378"/>
      <c r="F227" s="378"/>
      <c r="G227" s="378"/>
      <c r="H227" s="378"/>
      <c r="I227" s="378"/>
      <c r="J227" s="378"/>
      <c r="K227" s="378"/>
      <c r="L227" s="378"/>
      <c r="M227" s="378"/>
      <c r="N227" s="378"/>
      <c r="O227" s="378"/>
      <c r="P227" s="378"/>
      <c r="Q227" s="378"/>
      <c r="R227" s="378"/>
      <c r="S227" s="378"/>
      <c r="T227" s="378"/>
      <c r="U227" s="378"/>
      <c r="V227" s="378"/>
      <c r="W227" s="378"/>
      <c r="X227" s="378"/>
      <c r="Y227" s="378"/>
      <c r="Z227" s="378"/>
    </row>
    <row r="228" spans="2:26" s="359" customFormat="1" ht="20.100000000000001" customHeight="1">
      <c r="B228" s="378"/>
      <c r="C228" s="378"/>
      <c r="D228" s="378"/>
      <c r="E228" s="378"/>
      <c r="F228" s="378"/>
      <c r="G228" s="378"/>
      <c r="H228" s="378"/>
      <c r="I228" s="378"/>
      <c r="J228" s="378"/>
      <c r="K228" s="378"/>
      <c r="L228" s="378"/>
      <c r="M228" s="378"/>
      <c r="N228" s="378"/>
      <c r="O228" s="378"/>
      <c r="P228" s="378"/>
      <c r="Q228" s="378"/>
      <c r="R228" s="378"/>
      <c r="S228" s="378"/>
      <c r="T228" s="378"/>
      <c r="U228" s="378"/>
      <c r="V228" s="378"/>
      <c r="W228" s="378"/>
      <c r="X228" s="378"/>
      <c r="Y228" s="378"/>
      <c r="Z228" s="378"/>
    </row>
    <row r="229" spans="2:26" s="359" customFormat="1" ht="20.100000000000001" customHeight="1">
      <c r="B229" s="378"/>
      <c r="C229" s="378"/>
      <c r="D229" s="378"/>
      <c r="E229" s="378"/>
      <c r="F229" s="378"/>
      <c r="G229" s="378"/>
      <c r="H229" s="378"/>
      <c r="I229" s="378"/>
      <c r="J229" s="378"/>
      <c r="K229" s="378"/>
      <c r="L229" s="378"/>
      <c r="M229" s="378"/>
      <c r="N229" s="378"/>
      <c r="O229" s="378"/>
      <c r="P229" s="378"/>
      <c r="Q229" s="378"/>
      <c r="R229" s="378"/>
      <c r="S229" s="378"/>
      <c r="T229" s="378"/>
      <c r="U229" s="378"/>
      <c r="V229" s="378"/>
      <c r="W229" s="378"/>
      <c r="X229" s="378"/>
      <c r="Y229" s="378"/>
      <c r="Z229" s="378"/>
    </row>
    <row r="230" spans="2:26" s="359" customFormat="1" ht="20.100000000000001" customHeight="1">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row>
    <row r="231" spans="2:26" s="359" customFormat="1" ht="20.100000000000001" customHeight="1">
      <c r="B231" s="378"/>
      <c r="C231" s="378"/>
      <c r="D231" s="378"/>
      <c r="E231" s="378"/>
      <c r="F231" s="378"/>
      <c r="G231" s="378"/>
      <c r="H231" s="378"/>
      <c r="I231" s="378"/>
      <c r="J231" s="378"/>
      <c r="K231" s="378"/>
      <c r="L231" s="378"/>
      <c r="M231" s="378"/>
      <c r="N231" s="378"/>
      <c r="O231" s="378"/>
      <c r="P231" s="378"/>
      <c r="Q231" s="378"/>
      <c r="R231" s="378"/>
      <c r="S231" s="378"/>
      <c r="T231" s="378"/>
      <c r="U231" s="378"/>
      <c r="V231" s="378"/>
      <c r="W231" s="378"/>
      <c r="X231" s="378"/>
      <c r="Y231" s="378"/>
      <c r="Z231" s="378"/>
    </row>
    <row r="232" spans="2:26" s="359" customFormat="1" ht="20.100000000000001" customHeight="1">
      <c r="B232" s="378"/>
      <c r="C232" s="378"/>
      <c r="D232" s="378"/>
      <c r="E232" s="378"/>
      <c r="F232" s="378"/>
      <c r="G232" s="378"/>
      <c r="H232" s="378"/>
      <c r="I232" s="378"/>
      <c r="J232" s="378"/>
      <c r="K232" s="378"/>
      <c r="L232" s="378"/>
      <c r="M232" s="378"/>
      <c r="N232" s="378"/>
      <c r="O232" s="378"/>
      <c r="P232" s="378"/>
      <c r="Q232" s="378"/>
      <c r="R232" s="378"/>
      <c r="S232" s="378"/>
      <c r="T232" s="378"/>
      <c r="U232" s="378"/>
      <c r="V232" s="378"/>
      <c r="W232" s="378"/>
      <c r="X232" s="378"/>
      <c r="Y232" s="378"/>
      <c r="Z232" s="378"/>
    </row>
    <row r="233" spans="2:26" s="359" customFormat="1" ht="20.100000000000001" customHeight="1">
      <c r="B233" s="378"/>
      <c r="C233" s="378"/>
      <c r="D233" s="378"/>
      <c r="E233" s="378"/>
      <c r="F233" s="378"/>
      <c r="G233" s="378"/>
      <c r="H233" s="378"/>
      <c r="I233" s="378"/>
      <c r="J233" s="378"/>
      <c r="K233" s="378"/>
      <c r="L233" s="378"/>
      <c r="M233" s="378"/>
      <c r="N233" s="378"/>
      <c r="O233" s="378"/>
      <c r="P233" s="378"/>
      <c r="Q233" s="378"/>
      <c r="R233" s="378"/>
      <c r="S233" s="378"/>
      <c r="T233" s="378"/>
      <c r="U233" s="378"/>
      <c r="V233" s="378"/>
      <c r="W233" s="378"/>
      <c r="X233" s="378"/>
      <c r="Y233" s="378"/>
      <c r="Z233" s="378"/>
    </row>
    <row r="234" spans="2:26" s="359" customFormat="1" ht="20.100000000000001" customHeight="1">
      <c r="B234" s="378"/>
      <c r="C234" s="378"/>
      <c r="D234" s="378"/>
      <c r="E234" s="378"/>
      <c r="F234" s="378"/>
      <c r="G234" s="378"/>
      <c r="H234" s="378"/>
      <c r="I234" s="378"/>
      <c r="J234" s="378"/>
      <c r="K234" s="378"/>
      <c r="L234" s="378"/>
      <c r="M234" s="378"/>
      <c r="N234" s="378"/>
      <c r="O234" s="378"/>
      <c r="P234" s="378"/>
      <c r="Q234" s="378"/>
      <c r="R234" s="378"/>
      <c r="S234" s="378"/>
      <c r="T234" s="378"/>
      <c r="U234" s="378"/>
      <c r="V234" s="378"/>
      <c r="W234" s="378"/>
      <c r="X234" s="378"/>
      <c r="Y234" s="378"/>
      <c r="Z234" s="378"/>
    </row>
    <row r="235" spans="2:26" s="359" customFormat="1" ht="20.100000000000001" customHeight="1">
      <c r="B235" s="378"/>
      <c r="C235" s="378"/>
      <c r="D235" s="378"/>
      <c r="E235" s="378"/>
      <c r="F235" s="378"/>
      <c r="G235" s="378"/>
      <c r="H235" s="378"/>
      <c r="I235" s="378"/>
      <c r="J235" s="378"/>
      <c r="K235" s="378"/>
      <c r="L235" s="378"/>
      <c r="M235" s="378"/>
      <c r="N235" s="378"/>
      <c r="O235" s="378"/>
      <c r="P235" s="378"/>
      <c r="Q235" s="378"/>
      <c r="R235" s="378"/>
      <c r="S235" s="378"/>
      <c r="T235" s="378"/>
      <c r="U235" s="378"/>
      <c r="V235" s="378"/>
      <c r="W235" s="378"/>
      <c r="X235" s="378"/>
      <c r="Y235" s="378"/>
      <c r="Z235" s="378"/>
    </row>
    <row r="236" spans="2:26" s="359" customFormat="1" ht="20.100000000000001" customHeight="1">
      <c r="B236" s="378"/>
      <c r="C236" s="378"/>
      <c r="D236" s="378"/>
      <c r="E236" s="378"/>
      <c r="F236" s="378"/>
      <c r="G236" s="378"/>
      <c r="H236" s="378"/>
      <c r="I236" s="378"/>
      <c r="J236" s="378"/>
      <c r="K236" s="378"/>
      <c r="L236" s="378"/>
      <c r="M236" s="378"/>
      <c r="N236" s="378"/>
      <c r="O236" s="378"/>
      <c r="P236" s="378"/>
      <c r="Q236" s="378"/>
      <c r="R236" s="378"/>
      <c r="S236" s="378"/>
      <c r="T236" s="378"/>
      <c r="U236" s="378"/>
      <c r="V236" s="378"/>
      <c r="W236" s="378"/>
      <c r="X236" s="378"/>
      <c r="Y236" s="378"/>
      <c r="Z236" s="378"/>
    </row>
    <row r="237" spans="2:26" s="359" customFormat="1" ht="20.100000000000001" customHeight="1">
      <c r="B237" s="378"/>
      <c r="C237" s="378"/>
      <c r="D237" s="378"/>
      <c r="E237" s="378"/>
      <c r="F237" s="378"/>
      <c r="G237" s="378"/>
      <c r="H237" s="378"/>
      <c r="I237" s="378"/>
      <c r="J237" s="378"/>
      <c r="K237" s="378"/>
      <c r="L237" s="378"/>
      <c r="M237" s="378"/>
      <c r="N237" s="378"/>
      <c r="O237" s="378"/>
      <c r="P237" s="378"/>
      <c r="Q237" s="378"/>
      <c r="R237" s="378"/>
      <c r="S237" s="378"/>
      <c r="T237" s="378"/>
      <c r="U237" s="378"/>
      <c r="V237" s="378"/>
      <c r="W237" s="378"/>
      <c r="X237" s="378"/>
      <c r="Y237" s="378"/>
      <c r="Z237" s="378"/>
    </row>
    <row r="238" spans="2:26" s="359" customFormat="1" ht="20.100000000000001" customHeight="1">
      <c r="B238" s="378"/>
      <c r="C238" s="378"/>
      <c r="D238" s="378"/>
      <c r="E238" s="378"/>
      <c r="F238" s="378"/>
      <c r="G238" s="378"/>
      <c r="H238" s="378"/>
      <c r="I238" s="378"/>
      <c r="J238" s="378"/>
      <c r="K238" s="378"/>
      <c r="L238" s="378"/>
      <c r="M238" s="378"/>
      <c r="N238" s="378"/>
      <c r="O238" s="378"/>
      <c r="P238" s="378"/>
      <c r="Q238" s="378"/>
      <c r="R238" s="378"/>
      <c r="S238" s="378"/>
      <c r="T238" s="378"/>
      <c r="U238" s="378"/>
      <c r="V238" s="378"/>
      <c r="W238" s="378"/>
      <c r="X238" s="378"/>
      <c r="Y238" s="378"/>
      <c r="Z238" s="378"/>
    </row>
    <row r="239" spans="2:26" s="359" customFormat="1" ht="20.100000000000001" customHeight="1">
      <c r="B239" s="378"/>
      <c r="C239" s="378"/>
      <c r="D239" s="378"/>
      <c r="E239" s="378"/>
      <c r="F239" s="378"/>
      <c r="G239" s="378"/>
      <c r="H239" s="378"/>
      <c r="I239" s="378"/>
      <c r="J239" s="378"/>
      <c r="K239" s="378"/>
      <c r="L239" s="378"/>
      <c r="M239" s="378"/>
      <c r="N239" s="378"/>
      <c r="O239" s="378"/>
      <c r="P239" s="378"/>
      <c r="Q239" s="378"/>
      <c r="R239" s="378"/>
      <c r="S239" s="378"/>
      <c r="T239" s="378"/>
      <c r="U239" s="378"/>
      <c r="V239" s="378"/>
      <c r="W239" s="378"/>
      <c r="X239" s="378"/>
      <c r="Y239" s="378"/>
      <c r="Z239" s="378"/>
    </row>
    <row r="240" spans="2:26" s="359" customFormat="1" ht="20.100000000000001" customHeight="1">
      <c r="B240" s="378"/>
      <c r="C240" s="378"/>
      <c r="D240" s="378"/>
      <c r="E240" s="378"/>
      <c r="F240" s="378"/>
      <c r="G240" s="378"/>
      <c r="H240" s="378"/>
      <c r="I240" s="378"/>
      <c r="J240" s="378"/>
      <c r="K240" s="378"/>
      <c r="L240" s="378"/>
      <c r="M240" s="378"/>
      <c r="N240" s="378"/>
      <c r="O240" s="378"/>
      <c r="P240" s="378"/>
      <c r="Q240" s="378"/>
      <c r="R240" s="378"/>
      <c r="S240" s="378"/>
      <c r="T240" s="378"/>
      <c r="U240" s="378"/>
      <c r="V240" s="378"/>
      <c r="W240" s="378"/>
      <c r="X240" s="378"/>
      <c r="Y240" s="378"/>
      <c r="Z240" s="378"/>
    </row>
    <row r="241" spans="2:26" s="359" customFormat="1" ht="20.100000000000001" customHeight="1">
      <c r="B241" s="378"/>
      <c r="C241" s="378"/>
      <c r="D241" s="378"/>
      <c r="E241" s="378"/>
      <c r="F241" s="378"/>
      <c r="G241" s="378"/>
      <c r="H241" s="378"/>
      <c r="I241" s="378"/>
      <c r="J241" s="378"/>
      <c r="K241" s="378"/>
      <c r="L241" s="378"/>
      <c r="M241" s="378"/>
      <c r="N241" s="378"/>
      <c r="O241" s="378"/>
      <c r="P241" s="378"/>
      <c r="Q241" s="378"/>
      <c r="R241" s="378"/>
      <c r="S241" s="378"/>
      <c r="T241" s="378"/>
      <c r="U241" s="378"/>
      <c r="V241" s="378"/>
      <c r="W241" s="378"/>
      <c r="X241" s="378"/>
      <c r="Y241" s="378"/>
      <c r="Z241" s="378"/>
    </row>
    <row r="242" spans="2:26" s="359" customFormat="1" ht="20.100000000000001" customHeight="1">
      <c r="B242" s="378"/>
      <c r="C242" s="378"/>
      <c r="D242" s="378"/>
      <c r="E242" s="378"/>
      <c r="F242" s="378"/>
      <c r="G242" s="378"/>
      <c r="H242" s="378"/>
      <c r="I242" s="378"/>
      <c r="J242" s="378"/>
      <c r="K242" s="378"/>
      <c r="L242" s="378"/>
      <c r="M242" s="378"/>
      <c r="N242" s="378"/>
      <c r="O242" s="378"/>
      <c r="P242" s="378"/>
      <c r="Q242" s="378"/>
      <c r="R242" s="378"/>
      <c r="S242" s="378"/>
      <c r="T242" s="378"/>
      <c r="U242" s="378"/>
      <c r="V242" s="378"/>
      <c r="W242" s="378"/>
      <c r="X242" s="378"/>
      <c r="Y242" s="378"/>
      <c r="Z242" s="378"/>
    </row>
    <row r="243" spans="2:26" s="359" customFormat="1" ht="20.100000000000001" customHeight="1">
      <c r="B243" s="378"/>
      <c r="C243" s="378"/>
      <c r="D243" s="378"/>
      <c r="E243" s="378"/>
      <c r="F243" s="378"/>
      <c r="G243" s="378"/>
      <c r="H243" s="378"/>
      <c r="I243" s="378"/>
      <c r="J243" s="378"/>
      <c r="K243" s="378"/>
      <c r="L243" s="378"/>
      <c r="M243" s="378"/>
      <c r="N243" s="378"/>
      <c r="O243" s="378"/>
      <c r="P243" s="378"/>
      <c r="Q243" s="378"/>
      <c r="R243" s="378"/>
      <c r="S243" s="378"/>
      <c r="T243" s="378"/>
      <c r="U243" s="378"/>
      <c r="V243" s="378"/>
      <c r="W243" s="378"/>
      <c r="X243" s="378"/>
      <c r="Y243" s="378"/>
      <c r="Z243" s="378"/>
    </row>
    <row r="244" spans="2:26" s="359" customFormat="1" ht="20.100000000000001" customHeight="1">
      <c r="B244" s="378"/>
      <c r="C244" s="378"/>
      <c r="D244" s="378"/>
      <c r="E244" s="378"/>
      <c r="F244" s="378"/>
      <c r="G244" s="378"/>
      <c r="H244" s="378"/>
      <c r="I244" s="378"/>
      <c r="J244" s="378"/>
      <c r="K244" s="378"/>
      <c r="L244" s="378"/>
      <c r="M244" s="378"/>
      <c r="N244" s="378"/>
      <c r="O244" s="378"/>
      <c r="P244" s="378"/>
      <c r="Q244" s="378"/>
      <c r="R244" s="378"/>
      <c r="S244" s="378"/>
      <c r="T244" s="378"/>
      <c r="U244" s="378"/>
      <c r="V244" s="378"/>
      <c r="W244" s="378"/>
      <c r="X244" s="378"/>
      <c r="Y244" s="378"/>
      <c r="Z244" s="378"/>
    </row>
    <row r="245" spans="2:26" s="359" customFormat="1" ht="20.100000000000001" customHeight="1">
      <c r="B245" s="378"/>
      <c r="C245" s="378"/>
      <c r="D245" s="378"/>
      <c r="E245" s="378"/>
      <c r="F245" s="378"/>
      <c r="G245" s="378"/>
      <c r="H245" s="378"/>
      <c r="I245" s="378"/>
      <c r="J245" s="378"/>
      <c r="K245" s="378"/>
      <c r="L245" s="378"/>
      <c r="M245" s="378"/>
      <c r="N245" s="378"/>
      <c r="O245" s="378"/>
      <c r="P245" s="378"/>
      <c r="Q245" s="378"/>
      <c r="R245" s="378"/>
      <c r="S245" s="378"/>
      <c r="T245" s="378"/>
      <c r="U245" s="378"/>
      <c r="V245" s="378"/>
      <c r="W245" s="378"/>
      <c r="X245" s="378"/>
      <c r="Y245" s="378"/>
      <c r="Z245" s="378"/>
    </row>
    <row r="246" spans="2:26" s="359" customFormat="1" ht="20.100000000000001" customHeight="1">
      <c r="B246" s="378"/>
      <c r="C246" s="378"/>
      <c r="D246" s="378"/>
      <c r="E246" s="378"/>
      <c r="F246" s="378"/>
      <c r="G246" s="378"/>
      <c r="H246" s="378"/>
      <c r="I246" s="378"/>
      <c r="J246" s="378"/>
      <c r="K246" s="378"/>
      <c r="L246" s="378"/>
      <c r="M246" s="378"/>
      <c r="N246" s="378"/>
      <c r="O246" s="378"/>
      <c r="P246" s="378"/>
      <c r="Q246" s="378"/>
      <c r="R246" s="378"/>
      <c r="S246" s="378"/>
      <c r="T246" s="378"/>
      <c r="U246" s="378"/>
      <c r="V246" s="378"/>
      <c r="W246" s="378"/>
      <c r="X246" s="378"/>
      <c r="Y246" s="378"/>
      <c r="Z246" s="378"/>
    </row>
    <row r="247" spans="2:26" s="359" customFormat="1" ht="20.100000000000001" customHeight="1">
      <c r="B247" s="378"/>
      <c r="C247" s="378"/>
      <c r="D247" s="378"/>
      <c r="E247" s="378"/>
      <c r="F247" s="378"/>
      <c r="G247" s="378"/>
      <c r="H247" s="378"/>
      <c r="I247" s="378"/>
      <c r="J247" s="378"/>
      <c r="K247" s="378"/>
      <c r="L247" s="378"/>
      <c r="M247" s="378"/>
      <c r="N247" s="378"/>
      <c r="O247" s="378"/>
      <c r="P247" s="378"/>
      <c r="Q247" s="378"/>
      <c r="R247" s="378"/>
      <c r="S247" s="378"/>
      <c r="T247" s="378"/>
      <c r="U247" s="378"/>
      <c r="V247" s="378"/>
      <c r="W247" s="378"/>
      <c r="X247" s="378"/>
      <c r="Y247" s="378"/>
      <c r="Z247" s="378"/>
    </row>
    <row r="248" spans="2:26" s="359" customFormat="1" ht="20.100000000000001" customHeight="1">
      <c r="B248" s="378"/>
      <c r="C248" s="378"/>
      <c r="D248" s="378"/>
      <c r="E248" s="378"/>
      <c r="F248" s="378"/>
      <c r="G248" s="378"/>
      <c r="H248" s="378"/>
      <c r="I248" s="378"/>
      <c r="J248" s="378"/>
      <c r="K248" s="378"/>
      <c r="L248" s="378"/>
      <c r="M248" s="378"/>
      <c r="N248" s="378"/>
      <c r="O248" s="378"/>
      <c r="P248" s="378"/>
      <c r="Q248" s="378"/>
      <c r="R248" s="378"/>
      <c r="S248" s="378"/>
      <c r="T248" s="378"/>
      <c r="U248" s="378"/>
      <c r="V248" s="378"/>
      <c r="W248" s="378"/>
      <c r="X248" s="378"/>
      <c r="Y248" s="378"/>
      <c r="Z248" s="378"/>
    </row>
    <row r="249" spans="2:26" s="359" customFormat="1" ht="19.899999999999999" customHeight="1">
      <c r="B249" s="378"/>
      <c r="C249" s="378"/>
      <c r="D249" s="378"/>
      <c r="E249" s="378"/>
      <c r="F249" s="378"/>
      <c r="G249" s="378"/>
      <c r="H249" s="378"/>
      <c r="I249" s="378"/>
      <c r="J249" s="378"/>
      <c r="K249" s="378"/>
      <c r="L249" s="378"/>
      <c r="M249" s="378"/>
      <c r="N249" s="378"/>
      <c r="O249" s="378"/>
      <c r="P249" s="378"/>
      <c r="Q249" s="378"/>
      <c r="R249" s="378"/>
      <c r="S249" s="378"/>
      <c r="T249" s="378"/>
      <c r="U249" s="378"/>
      <c r="V249" s="378"/>
      <c r="W249" s="378"/>
      <c r="X249" s="378"/>
      <c r="Y249" s="378"/>
      <c r="Z249" s="378"/>
    </row>
    <row r="250" spans="2:26" s="359" customFormat="1" ht="20.100000000000001" customHeight="1">
      <c r="B250" s="378"/>
      <c r="C250" s="378"/>
      <c r="D250" s="378"/>
      <c r="E250" s="378"/>
      <c r="F250" s="378"/>
      <c r="G250" s="378"/>
      <c r="H250" s="378"/>
      <c r="I250" s="378"/>
      <c r="J250" s="378"/>
      <c r="K250" s="378"/>
      <c r="L250" s="378"/>
      <c r="M250" s="378"/>
      <c r="N250" s="378"/>
      <c r="O250" s="378"/>
      <c r="P250" s="378"/>
      <c r="Q250" s="378"/>
      <c r="R250" s="378"/>
      <c r="S250" s="378"/>
      <c r="T250" s="378"/>
      <c r="U250" s="378"/>
      <c r="V250" s="378"/>
      <c r="W250" s="378"/>
      <c r="X250" s="378"/>
      <c r="Y250" s="378"/>
      <c r="Z250" s="378"/>
    </row>
    <row r="251" spans="2:26" s="359" customFormat="1" ht="20.100000000000001" customHeight="1">
      <c r="B251" s="378"/>
      <c r="C251" s="378"/>
      <c r="D251" s="378"/>
      <c r="E251" s="378"/>
      <c r="F251" s="378"/>
      <c r="G251" s="378"/>
      <c r="H251" s="378"/>
      <c r="I251" s="378"/>
      <c r="J251" s="378"/>
      <c r="K251" s="378"/>
      <c r="L251" s="378"/>
      <c r="M251" s="378"/>
      <c r="N251" s="378"/>
      <c r="O251" s="378"/>
      <c r="P251" s="378"/>
      <c r="Q251" s="378"/>
      <c r="R251" s="378"/>
      <c r="S251" s="378"/>
      <c r="T251" s="378"/>
      <c r="U251" s="378"/>
      <c r="V251" s="378"/>
      <c r="W251" s="378"/>
      <c r="X251" s="378"/>
      <c r="Y251" s="378"/>
      <c r="Z251" s="378"/>
    </row>
    <row r="252" spans="2:26" s="359" customFormat="1" ht="20.100000000000001" customHeight="1">
      <c r="B252" s="378"/>
      <c r="C252" s="378"/>
      <c r="D252" s="378"/>
      <c r="E252" s="378"/>
      <c r="F252" s="378"/>
      <c r="G252" s="378"/>
      <c r="H252" s="378"/>
      <c r="I252" s="378"/>
      <c r="J252" s="378"/>
      <c r="K252" s="378"/>
      <c r="L252" s="378"/>
      <c r="M252" s="378"/>
      <c r="N252" s="378"/>
      <c r="O252" s="378"/>
      <c r="P252" s="378"/>
      <c r="Q252" s="378"/>
      <c r="R252" s="378"/>
      <c r="S252" s="378"/>
      <c r="T252" s="378"/>
      <c r="U252" s="378"/>
      <c r="V252" s="378"/>
      <c r="W252" s="378"/>
      <c r="X252" s="378"/>
      <c r="Y252" s="378"/>
      <c r="Z252" s="378"/>
    </row>
    <row r="253" spans="2:26" s="359" customFormat="1" ht="20.100000000000001" customHeight="1">
      <c r="B253" s="378"/>
      <c r="C253" s="378"/>
      <c r="D253" s="378"/>
      <c r="E253" s="378"/>
      <c r="F253" s="378"/>
      <c r="G253" s="378"/>
      <c r="H253" s="378"/>
      <c r="I253" s="378"/>
      <c r="J253" s="378"/>
      <c r="K253" s="378"/>
      <c r="L253" s="378"/>
      <c r="M253" s="378"/>
      <c r="N253" s="378"/>
      <c r="O253" s="378"/>
      <c r="P253" s="378"/>
      <c r="Q253" s="378"/>
      <c r="R253" s="378"/>
      <c r="S253" s="378"/>
      <c r="T253" s="378"/>
      <c r="U253" s="378"/>
      <c r="V253" s="378"/>
      <c r="W253" s="378"/>
      <c r="X253" s="378"/>
      <c r="Y253" s="378"/>
      <c r="Z253" s="378"/>
    </row>
    <row r="254" spans="2:26" s="359" customFormat="1" ht="20.100000000000001" customHeight="1">
      <c r="B254" s="378"/>
      <c r="C254" s="378"/>
      <c r="D254" s="378"/>
      <c r="E254" s="378"/>
      <c r="F254" s="378"/>
      <c r="G254" s="378"/>
      <c r="H254" s="378"/>
      <c r="I254" s="378"/>
      <c r="J254" s="378"/>
      <c r="K254" s="378"/>
      <c r="L254" s="378"/>
      <c r="M254" s="378"/>
      <c r="N254" s="378"/>
      <c r="O254" s="378"/>
      <c r="P254" s="378"/>
      <c r="Q254" s="378"/>
      <c r="R254" s="378"/>
      <c r="S254" s="378"/>
      <c r="T254" s="378"/>
      <c r="U254" s="378"/>
      <c r="V254" s="378"/>
      <c r="W254" s="378"/>
      <c r="X254" s="378"/>
      <c r="Y254" s="378"/>
      <c r="Z254" s="378"/>
    </row>
    <row r="255" spans="2:26" s="359" customFormat="1" ht="20.100000000000001" customHeight="1">
      <c r="B255" s="378"/>
      <c r="C255" s="378"/>
      <c r="D255" s="378"/>
      <c r="E255" s="378"/>
      <c r="F255" s="378"/>
      <c r="G255" s="378"/>
      <c r="H255" s="378"/>
      <c r="I255" s="378"/>
      <c r="J255" s="378"/>
      <c r="K255" s="378"/>
      <c r="L255" s="378"/>
      <c r="M255" s="378"/>
      <c r="N255" s="378"/>
      <c r="O255" s="378"/>
      <c r="P255" s="378"/>
      <c r="Q255" s="378"/>
      <c r="R255" s="378"/>
      <c r="S255" s="378"/>
      <c r="T255" s="378"/>
      <c r="U255" s="378"/>
      <c r="V255" s="378"/>
      <c r="W255" s="378"/>
      <c r="X255" s="378"/>
      <c r="Y255" s="378"/>
      <c r="Z255" s="378"/>
    </row>
    <row r="256" spans="2:26" s="359" customFormat="1" ht="20.100000000000001" customHeight="1">
      <c r="B256" s="378"/>
      <c r="C256" s="378"/>
      <c r="D256" s="378"/>
      <c r="E256" s="378"/>
      <c r="F256" s="378"/>
      <c r="G256" s="378"/>
      <c r="H256" s="378"/>
      <c r="I256" s="378"/>
      <c r="J256" s="378"/>
      <c r="K256" s="378"/>
      <c r="L256" s="378"/>
      <c r="M256" s="378"/>
      <c r="N256" s="378"/>
      <c r="O256" s="378"/>
      <c r="P256" s="378"/>
      <c r="Q256" s="378"/>
      <c r="R256" s="378"/>
      <c r="S256" s="378"/>
      <c r="T256" s="378"/>
      <c r="U256" s="378"/>
      <c r="V256" s="378"/>
      <c r="W256" s="378"/>
      <c r="X256" s="378"/>
      <c r="Y256" s="378"/>
      <c r="Z256" s="378"/>
    </row>
    <row r="257" spans="2:26" s="359" customFormat="1" ht="20.100000000000001" customHeight="1">
      <c r="B257" s="378"/>
      <c r="C257" s="378"/>
      <c r="D257" s="378"/>
      <c r="E257" s="378"/>
      <c r="F257" s="378"/>
      <c r="G257" s="378"/>
      <c r="H257" s="378"/>
      <c r="I257" s="378"/>
      <c r="J257" s="378"/>
      <c r="K257" s="378"/>
      <c r="L257" s="378"/>
      <c r="M257" s="378"/>
      <c r="N257" s="378"/>
      <c r="O257" s="378"/>
      <c r="P257" s="378"/>
      <c r="Q257" s="378"/>
      <c r="R257" s="378"/>
      <c r="S257" s="378"/>
      <c r="T257" s="378"/>
      <c r="U257" s="378"/>
      <c r="V257" s="378"/>
      <c r="W257" s="378"/>
      <c r="X257" s="378"/>
      <c r="Y257" s="378"/>
      <c r="Z257" s="378"/>
    </row>
    <row r="258" spans="2:26" s="359" customFormat="1" ht="20.100000000000001" customHeight="1">
      <c r="B258" s="378"/>
      <c r="C258" s="378"/>
      <c r="D258" s="378"/>
      <c r="E258" s="378"/>
      <c r="F258" s="378"/>
      <c r="G258" s="378"/>
      <c r="H258" s="378"/>
      <c r="I258" s="378"/>
      <c r="J258" s="378"/>
      <c r="K258" s="378"/>
      <c r="L258" s="378"/>
      <c r="M258" s="378"/>
      <c r="N258" s="378"/>
      <c r="O258" s="378"/>
      <c r="P258" s="378"/>
      <c r="Q258" s="378"/>
      <c r="R258" s="378"/>
      <c r="S258" s="378"/>
      <c r="T258" s="378"/>
      <c r="U258" s="378"/>
      <c r="V258" s="378"/>
      <c r="W258" s="378"/>
      <c r="X258" s="378"/>
      <c r="Y258" s="378"/>
      <c r="Z258" s="378"/>
    </row>
    <row r="259" spans="2:26" s="359" customFormat="1" ht="20.100000000000001" customHeight="1">
      <c r="B259" s="378"/>
      <c r="C259" s="378"/>
      <c r="D259" s="378"/>
      <c r="E259" s="378"/>
      <c r="F259" s="378"/>
      <c r="G259" s="378"/>
      <c r="H259" s="378"/>
      <c r="I259" s="378"/>
      <c r="J259" s="378"/>
      <c r="K259" s="378"/>
      <c r="L259" s="378"/>
      <c r="M259" s="378"/>
      <c r="N259" s="378"/>
      <c r="O259" s="378"/>
      <c r="P259" s="378"/>
      <c r="Q259" s="378"/>
      <c r="R259" s="378"/>
      <c r="S259" s="378"/>
      <c r="T259" s="378"/>
      <c r="U259" s="378"/>
      <c r="V259" s="378"/>
      <c r="W259" s="378"/>
      <c r="X259" s="378"/>
      <c r="Y259" s="378"/>
      <c r="Z259" s="378"/>
    </row>
    <row r="260" spans="2:26" s="359" customFormat="1" ht="20.100000000000001" customHeight="1">
      <c r="B260" s="378"/>
      <c r="C260" s="378"/>
      <c r="D260" s="378"/>
      <c r="E260" s="378"/>
      <c r="F260" s="378"/>
      <c r="G260" s="378"/>
      <c r="H260" s="378"/>
      <c r="I260" s="378"/>
      <c r="J260" s="378"/>
      <c r="K260" s="378"/>
      <c r="L260" s="378"/>
      <c r="M260" s="378"/>
      <c r="N260" s="378"/>
      <c r="O260" s="378"/>
      <c r="P260" s="378"/>
      <c r="Q260" s="378"/>
      <c r="R260" s="378"/>
      <c r="S260" s="378"/>
      <c r="T260" s="378"/>
      <c r="U260" s="378"/>
      <c r="V260" s="378"/>
      <c r="W260" s="378"/>
      <c r="X260" s="378"/>
      <c r="Y260" s="378"/>
      <c r="Z260" s="378"/>
    </row>
    <row r="261" spans="2:26" s="359" customFormat="1" ht="20.100000000000001" customHeight="1">
      <c r="B261" s="378"/>
      <c r="C261" s="378"/>
      <c r="D261" s="378"/>
      <c r="E261" s="378"/>
      <c r="F261" s="378"/>
      <c r="G261" s="378"/>
      <c r="H261" s="378"/>
      <c r="I261" s="378"/>
      <c r="J261" s="378"/>
      <c r="K261" s="378"/>
      <c r="L261" s="378"/>
      <c r="M261" s="378"/>
      <c r="N261" s="378"/>
      <c r="O261" s="378"/>
      <c r="P261" s="378"/>
      <c r="Q261" s="378"/>
      <c r="R261" s="378"/>
      <c r="S261" s="378"/>
      <c r="T261" s="378"/>
      <c r="U261" s="378"/>
      <c r="V261" s="378"/>
      <c r="W261" s="378"/>
      <c r="X261" s="378"/>
      <c r="Y261" s="378"/>
      <c r="Z261" s="378"/>
    </row>
    <row r="262" spans="2:26" s="359" customFormat="1" ht="20.100000000000001" customHeight="1">
      <c r="B262" s="378"/>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row>
    <row r="263" spans="2:26" s="359" customFormat="1" ht="20.100000000000001" customHeight="1">
      <c r="B263" s="378"/>
      <c r="C263" s="378"/>
      <c r="D263" s="378"/>
      <c r="E263" s="378"/>
      <c r="F263" s="378"/>
      <c r="G263" s="378"/>
      <c r="H263" s="378"/>
      <c r="I263" s="378"/>
      <c r="J263" s="378"/>
      <c r="K263" s="378"/>
      <c r="L263" s="378"/>
      <c r="M263" s="378"/>
      <c r="N263" s="378"/>
      <c r="O263" s="378"/>
      <c r="P263" s="378"/>
      <c r="Q263" s="378"/>
      <c r="R263" s="378"/>
      <c r="S263" s="378"/>
      <c r="T263" s="378"/>
      <c r="U263" s="378"/>
      <c r="V263" s="378"/>
      <c r="W263" s="378"/>
      <c r="X263" s="378"/>
      <c r="Y263" s="378"/>
      <c r="Z263" s="378"/>
    </row>
    <row r="264" spans="2:26" ht="20.100000000000001" customHeight="1"/>
    <row r="265" spans="2:26" ht="10.15" customHeight="1"/>
    <row r="266" spans="2:26" ht="20.100000000000001" customHeight="1"/>
    <row r="267" spans="2:26" ht="20.100000000000001" customHeight="1"/>
    <row r="268" spans="2:26" ht="20.100000000000001" customHeight="1"/>
    <row r="269" spans="2:26" ht="20.100000000000001" customHeight="1"/>
    <row r="270" spans="2:26" s="359" customFormat="1" ht="20.100000000000001" customHeight="1">
      <c r="B270" s="378"/>
      <c r="C270" s="378"/>
      <c r="D270" s="378"/>
      <c r="E270" s="378"/>
      <c r="F270" s="378"/>
      <c r="G270" s="378"/>
      <c r="H270" s="378"/>
      <c r="I270" s="378"/>
      <c r="J270" s="378"/>
      <c r="K270" s="378"/>
      <c r="L270" s="378"/>
      <c r="M270" s="378"/>
      <c r="N270" s="378"/>
      <c r="O270" s="378"/>
      <c r="P270" s="378"/>
      <c r="Q270" s="378"/>
      <c r="R270" s="378"/>
      <c r="S270" s="378"/>
      <c r="T270" s="378"/>
      <c r="U270" s="378"/>
      <c r="V270" s="378"/>
      <c r="W270" s="378"/>
      <c r="X270" s="378"/>
      <c r="Y270" s="378"/>
      <c r="Z270" s="378"/>
    </row>
    <row r="271" spans="2:26" s="359" customFormat="1" ht="20.100000000000001" customHeight="1">
      <c r="B271" s="378"/>
      <c r="C271" s="378"/>
      <c r="D271" s="378"/>
      <c r="E271" s="378"/>
      <c r="F271" s="378"/>
      <c r="G271" s="378"/>
      <c r="H271" s="378"/>
      <c r="I271" s="378"/>
      <c r="J271" s="378"/>
      <c r="K271" s="378"/>
      <c r="L271" s="378"/>
      <c r="M271" s="378"/>
      <c r="N271" s="378"/>
      <c r="O271" s="378"/>
      <c r="P271" s="378"/>
      <c r="Q271" s="378"/>
      <c r="R271" s="378"/>
      <c r="S271" s="378"/>
      <c r="T271" s="378"/>
      <c r="U271" s="378"/>
      <c r="V271" s="378"/>
      <c r="W271" s="378"/>
      <c r="X271" s="378"/>
      <c r="Y271" s="378"/>
      <c r="Z271" s="378"/>
    </row>
    <row r="272" spans="2:26" s="359" customFormat="1" ht="20.100000000000001" customHeight="1">
      <c r="B272" s="378"/>
      <c r="C272" s="378"/>
      <c r="D272" s="378"/>
      <c r="E272" s="378"/>
      <c r="F272" s="378"/>
      <c r="G272" s="378"/>
      <c r="H272" s="378"/>
      <c r="I272" s="378"/>
      <c r="J272" s="378"/>
      <c r="K272" s="378"/>
      <c r="L272" s="378"/>
      <c r="M272" s="378"/>
      <c r="N272" s="378"/>
      <c r="O272" s="378"/>
      <c r="P272" s="378"/>
      <c r="Q272" s="378"/>
      <c r="R272" s="378"/>
      <c r="S272" s="378"/>
      <c r="T272" s="378"/>
      <c r="U272" s="378"/>
      <c r="V272" s="378"/>
      <c r="W272" s="378"/>
      <c r="X272" s="378"/>
      <c r="Y272" s="378"/>
      <c r="Z272" s="378"/>
    </row>
    <row r="273" spans="2:26" s="359" customFormat="1" ht="20.100000000000001" customHeight="1">
      <c r="B273" s="378"/>
      <c r="C273" s="378"/>
      <c r="D273" s="378"/>
      <c r="E273" s="378"/>
      <c r="F273" s="378"/>
      <c r="G273" s="378"/>
      <c r="H273" s="378"/>
      <c r="I273" s="378"/>
      <c r="J273" s="378"/>
      <c r="K273" s="378"/>
      <c r="L273" s="378"/>
      <c r="M273" s="378"/>
      <c r="N273" s="378"/>
      <c r="O273" s="378"/>
      <c r="P273" s="378"/>
      <c r="Q273" s="378"/>
      <c r="R273" s="378"/>
      <c r="S273" s="378"/>
      <c r="T273" s="378"/>
      <c r="U273" s="378"/>
      <c r="V273" s="378"/>
      <c r="W273" s="378"/>
      <c r="X273" s="378"/>
      <c r="Y273" s="378"/>
      <c r="Z273" s="378"/>
    </row>
    <row r="274" spans="2:26" s="359" customFormat="1" ht="20.100000000000001" customHeight="1">
      <c r="B274" s="378"/>
      <c r="C274" s="378"/>
      <c r="D274" s="378"/>
      <c r="E274" s="378"/>
      <c r="F274" s="378"/>
      <c r="G274" s="378"/>
      <c r="H274" s="378"/>
      <c r="I274" s="378"/>
      <c r="J274" s="378"/>
      <c r="K274" s="378"/>
      <c r="L274" s="378"/>
      <c r="M274" s="378"/>
      <c r="N274" s="378"/>
      <c r="O274" s="378"/>
      <c r="P274" s="378"/>
      <c r="Q274" s="378"/>
      <c r="R274" s="378"/>
      <c r="S274" s="378"/>
      <c r="T274" s="378"/>
      <c r="U274" s="378"/>
      <c r="V274" s="378"/>
      <c r="W274" s="378"/>
      <c r="X274" s="378"/>
      <c r="Y274" s="378"/>
      <c r="Z274" s="378"/>
    </row>
    <row r="275" spans="2:26" s="359" customFormat="1" ht="20.100000000000001" customHeight="1">
      <c r="B275" s="378"/>
      <c r="C275" s="378"/>
      <c r="D275" s="378"/>
      <c r="E275" s="378"/>
      <c r="F275" s="378"/>
      <c r="G275" s="378"/>
      <c r="H275" s="378"/>
      <c r="I275" s="378"/>
      <c r="J275" s="378"/>
      <c r="K275" s="378"/>
      <c r="L275" s="378"/>
      <c r="M275" s="378"/>
      <c r="N275" s="378"/>
      <c r="O275" s="378"/>
      <c r="P275" s="378"/>
      <c r="Q275" s="378"/>
      <c r="R275" s="378"/>
      <c r="S275" s="378"/>
      <c r="T275" s="378"/>
      <c r="U275" s="378"/>
      <c r="V275" s="378"/>
      <c r="W275" s="378"/>
      <c r="X275" s="378"/>
      <c r="Y275" s="378"/>
      <c r="Z275" s="378"/>
    </row>
    <row r="276" spans="2:26" s="359" customFormat="1" ht="20.100000000000001" customHeight="1">
      <c r="B276" s="378"/>
      <c r="C276" s="378"/>
      <c r="D276" s="378"/>
      <c r="E276" s="378"/>
      <c r="F276" s="378"/>
      <c r="G276" s="378"/>
      <c r="H276" s="378"/>
      <c r="I276" s="378"/>
      <c r="J276" s="378"/>
      <c r="K276" s="378"/>
      <c r="L276" s="378"/>
      <c r="M276" s="378"/>
      <c r="N276" s="378"/>
      <c r="O276" s="378"/>
      <c r="P276" s="378"/>
      <c r="Q276" s="378"/>
      <c r="R276" s="378"/>
      <c r="S276" s="378"/>
      <c r="T276" s="378"/>
      <c r="U276" s="378"/>
      <c r="V276" s="378"/>
      <c r="W276" s="378"/>
      <c r="X276" s="378"/>
      <c r="Y276" s="378"/>
      <c r="Z276" s="378"/>
    </row>
    <row r="277" spans="2:26" s="359" customFormat="1" ht="20.100000000000001" customHeight="1">
      <c r="B277" s="378"/>
      <c r="C277" s="378"/>
      <c r="D277" s="378"/>
      <c r="E277" s="378"/>
      <c r="F277" s="378"/>
      <c r="G277" s="378"/>
      <c r="H277" s="378"/>
      <c r="I277" s="378"/>
      <c r="J277" s="378"/>
      <c r="K277" s="378"/>
      <c r="L277" s="378"/>
      <c r="M277" s="378"/>
      <c r="N277" s="378"/>
      <c r="O277" s="378"/>
      <c r="P277" s="378"/>
      <c r="Q277" s="378"/>
      <c r="R277" s="378"/>
      <c r="S277" s="378"/>
      <c r="T277" s="378"/>
      <c r="U277" s="378"/>
      <c r="V277" s="378"/>
      <c r="W277" s="378"/>
      <c r="X277" s="378"/>
      <c r="Y277" s="378"/>
      <c r="Z277" s="378"/>
    </row>
    <row r="278" spans="2:26" s="359" customFormat="1" ht="20.100000000000001" customHeight="1">
      <c r="B278" s="378"/>
      <c r="C278" s="378"/>
      <c r="D278" s="378"/>
      <c r="E278" s="378"/>
      <c r="F278" s="378"/>
      <c r="G278" s="378"/>
      <c r="H278" s="378"/>
      <c r="I278" s="378"/>
      <c r="J278" s="378"/>
      <c r="K278" s="378"/>
      <c r="L278" s="378"/>
      <c r="M278" s="378"/>
      <c r="N278" s="378"/>
      <c r="O278" s="378"/>
      <c r="P278" s="378"/>
      <c r="Q278" s="378"/>
      <c r="R278" s="378"/>
      <c r="S278" s="378"/>
      <c r="T278" s="378"/>
      <c r="U278" s="378"/>
      <c r="V278" s="378"/>
      <c r="W278" s="378"/>
      <c r="X278" s="378"/>
      <c r="Y278" s="378"/>
      <c r="Z278" s="378"/>
    </row>
    <row r="279" spans="2:26" s="359" customFormat="1" ht="20.100000000000001" customHeight="1">
      <c r="B279" s="378"/>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c r="Y279" s="378"/>
      <c r="Z279" s="378"/>
    </row>
    <row r="280" spans="2:26" s="359" customFormat="1" ht="20.100000000000001" customHeight="1">
      <c r="B280" s="378"/>
      <c r="C280" s="378"/>
      <c r="D280" s="378"/>
      <c r="E280" s="378"/>
      <c r="F280" s="378"/>
      <c r="G280" s="378"/>
      <c r="H280" s="378"/>
      <c r="I280" s="378"/>
      <c r="J280" s="378"/>
      <c r="K280" s="378"/>
      <c r="L280" s="378"/>
      <c r="M280" s="378"/>
      <c r="N280" s="378"/>
      <c r="O280" s="378"/>
      <c r="P280" s="378"/>
      <c r="Q280" s="378"/>
      <c r="R280" s="378"/>
      <c r="S280" s="378"/>
      <c r="T280" s="378"/>
      <c r="U280" s="378"/>
      <c r="V280" s="378"/>
      <c r="W280" s="378"/>
      <c r="X280" s="378"/>
      <c r="Y280" s="378"/>
      <c r="Z280" s="378"/>
    </row>
    <row r="281" spans="2:26" s="359" customFormat="1" ht="20.100000000000001" customHeight="1">
      <c r="B281" s="378"/>
      <c r="C281" s="378"/>
      <c r="D281" s="378"/>
      <c r="E281" s="378"/>
      <c r="F281" s="378"/>
      <c r="G281" s="378"/>
      <c r="H281" s="378"/>
      <c r="I281" s="378"/>
      <c r="J281" s="378"/>
      <c r="K281" s="378"/>
      <c r="L281" s="378"/>
      <c r="M281" s="378"/>
      <c r="N281" s="378"/>
      <c r="O281" s="378"/>
      <c r="P281" s="378"/>
      <c r="Q281" s="378"/>
      <c r="R281" s="378"/>
      <c r="S281" s="378"/>
      <c r="T281" s="378"/>
      <c r="U281" s="378"/>
      <c r="V281" s="378"/>
      <c r="W281" s="378"/>
      <c r="X281" s="378"/>
      <c r="Y281" s="378"/>
      <c r="Z281" s="378"/>
    </row>
    <row r="282" spans="2:26" s="359" customFormat="1" ht="20.100000000000001" customHeight="1">
      <c r="B282" s="378"/>
      <c r="C282" s="378"/>
      <c r="D282" s="378"/>
      <c r="E282" s="378"/>
      <c r="F282" s="378"/>
      <c r="G282" s="378"/>
      <c r="H282" s="378"/>
      <c r="I282" s="378"/>
      <c r="J282" s="378"/>
      <c r="K282" s="378"/>
      <c r="L282" s="378"/>
      <c r="M282" s="378"/>
      <c r="N282" s="378"/>
      <c r="O282" s="378"/>
      <c r="P282" s="378"/>
      <c r="Q282" s="378"/>
      <c r="R282" s="378"/>
      <c r="S282" s="378"/>
      <c r="T282" s="378"/>
      <c r="U282" s="378"/>
      <c r="V282" s="378"/>
      <c r="W282" s="378"/>
      <c r="X282" s="378"/>
      <c r="Y282" s="378"/>
      <c r="Z282" s="378"/>
    </row>
    <row r="283" spans="2:26" s="359" customFormat="1" ht="20.100000000000001" customHeight="1">
      <c r="B283" s="378"/>
      <c r="C283" s="378"/>
      <c r="D283" s="378"/>
      <c r="E283" s="378"/>
      <c r="F283" s="378"/>
      <c r="G283" s="378"/>
      <c r="H283" s="378"/>
      <c r="I283" s="378"/>
      <c r="J283" s="378"/>
      <c r="K283" s="378"/>
      <c r="L283" s="378"/>
      <c r="M283" s="378"/>
      <c r="N283" s="378"/>
      <c r="O283" s="378"/>
      <c r="P283" s="378"/>
      <c r="Q283" s="378"/>
      <c r="R283" s="378"/>
      <c r="S283" s="378"/>
      <c r="T283" s="378"/>
      <c r="U283" s="378"/>
      <c r="V283" s="378"/>
      <c r="W283" s="378"/>
      <c r="X283" s="378"/>
      <c r="Y283" s="378"/>
      <c r="Z283" s="378"/>
    </row>
    <row r="284" spans="2:26" s="359" customFormat="1" ht="20.100000000000001" customHeight="1">
      <c r="B284" s="378"/>
      <c r="C284" s="378"/>
      <c r="D284" s="378"/>
      <c r="E284" s="378"/>
      <c r="F284" s="378"/>
      <c r="G284" s="378"/>
      <c r="H284" s="378"/>
      <c r="I284" s="378"/>
      <c r="J284" s="378"/>
      <c r="K284" s="378"/>
      <c r="L284" s="378"/>
      <c r="M284" s="378"/>
      <c r="N284" s="378"/>
      <c r="O284" s="378"/>
      <c r="P284" s="378"/>
      <c r="Q284" s="378"/>
      <c r="R284" s="378"/>
      <c r="S284" s="378"/>
      <c r="T284" s="378"/>
      <c r="U284" s="378"/>
      <c r="V284" s="378"/>
      <c r="W284" s="378"/>
      <c r="X284" s="378"/>
      <c r="Y284" s="378"/>
      <c r="Z284" s="378"/>
    </row>
    <row r="285" spans="2:26" s="359" customFormat="1" ht="20.100000000000001" customHeight="1">
      <c r="B285" s="378"/>
      <c r="C285" s="378"/>
      <c r="D285" s="378"/>
      <c r="E285" s="378"/>
      <c r="F285" s="378"/>
      <c r="G285" s="378"/>
      <c r="H285" s="378"/>
      <c r="I285" s="378"/>
      <c r="J285" s="378"/>
      <c r="K285" s="378"/>
      <c r="L285" s="378"/>
      <c r="M285" s="378"/>
      <c r="N285" s="378"/>
      <c r="O285" s="378"/>
      <c r="P285" s="378"/>
      <c r="Q285" s="378"/>
      <c r="R285" s="378"/>
      <c r="S285" s="378"/>
      <c r="T285" s="378"/>
      <c r="U285" s="378"/>
      <c r="V285" s="378"/>
      <c r="W285" s="378"/>
      <c r="X285" s="378"/>
      <c r="Y285" s="378"/>
      <c r="Z285" s="378"/>
    </row>
    <row r="286" spans="2:26" s="359" customFormat="1" ht="20.100000000000001" customHeight="1">
      <c r="B286" s="378"/>
      <c r="C286" s="378"/>
      <c r="D286" s="378"/>
      <c r="E286" s="378"/>
      <c r="F286" s="378"/>
      <c r="G286" s="378"/>
      <c r="H286" s="378"/>
      <c r="I286" s="378"/>
      <c r="J286" s="378"/>
      <c r="K286" s="378"/>
      <c r="L286" s="378"/>
      <c r="M286" s="378"/>
      <c r="N286" s="378"/>
      <c r="O286" s="378"/>
      <c r="P286" s="378"/>
      <c r="Q286" s="378"/>
      <c r="R286" s="378"/>
      <c r="S286" s="378"/>
      <c r="T286" s="378"/>
      <c r="U286" s="378"/>
      <c r="V286" s="378"/>
      <c r="W286" s="378"/>
      <c r="X286" s="378"/>
      <c r="Y286" s="378"/>
      <c r="Z286" s="378"/>
    </row>
    <row r="287" spans="2:26" s="359" customFormat="1" ht="20.100000000000001" customHeight="1">
      <c r="B287" s="378"/>
      <c r="C287" s="378"/>
      <c r="D287" s="378"/>
      <c r="E287" s="378"/>
      <c r="F287" s="378"/>
      <c r="G287" s="378"/>
      <c r="H287" s="378"/>
      <c r="I287" s="378"/>
      <c r="J287" s="378"/>
      <c r="K287" s="378"/>
      <c r="L287" s="378"/>
      <c r="M287" s="378"/>
      <c r="N287" s="378"/>
      <c r="O287" s="378"/>
      <c r="P287" s="378"/>
      <c r="Q287" s="378"/>
      <c r="R287" s="378"/>
      <c r="S287" s="378"/>
      <c r="T287" s="378"/>
      <c r="U287" s="378"/>
      <c r="V287" s="378"/>
      <c r="W287" s="378"/>
      <c r="X287" s="378"/>
      <c r="Y287" s="378"/>
      <c r="Z287" s="378"/>
    </row>
    <row r="288" spans="2:26" s="359" customFormat="1" ht="20.100000000000001" customHeight="1">
      <c r="B288" s="378"/>
      <c r="C288" s="378"/>
      <c r="D288" s="378"/>
      <c r="E288" s="378"/>
      <c r="F288" s="378"/>
      <c r="G288" s="378"/>
      <c r="H288" s="378"/>
      <c r="I288" s="378"/>
      <c r="J288" s="378"/>
      <c r="K288" s="378"/>
      <c r="L288" s="378"/>
      <c r="M288" s="378"/>
      <c r="N288" s="378"/>
      <c r="O288" s="378"/>
      <c r="P288" s="378"/>
      <c r="Q288" s="378"/>
      <c r="R288" s="378"/>
      <c r="S288" s="378"/>
      <c r="T288" s="378"/>
      <c r="U288" s="378"/>
      <c r="V288" s="378"/>
      <c r="W288" s="378"/>
      <c r="X288" s="378"/>
      <c r="Y288" s="378"/>
      <c r="Z288" s="378"/>
    </row>
    <row r="289" spans="2:26" s="359" customFormat="1" ht="20.100000000000001" customHeight="1">
      <c r="B289" s="378"/>
      <c r="C289" s="378"/>
      <c r="D289" s="378"/>
      <c r="E289" s="378"/>
      <c r="F289" s="378"/>
      <c r="G289" s="378"/>
      <c r="H289" s="378"/>
      <c r="I289" s="378"/>
      <c r="J289" s="378"/>
      <c r="K289" s="378"/>
      <c r="L289" s="378"/>
      <c r="M289" s="378"/>
      <c r="N289" s="378"/>
      <c r="O289" s="378"/>
      <c r="P289" s="378"/>
      <c r="Q289" s="378"/>
      <c r="R289" s="378"/>
      <c r="S289" s="378"/>
      <c r="T289" s="378"/>
      <c r="U289" s="378"/>
      <c r="V289" s="378"/>
      <c r="W289" s="378"/>
      <c r="X289" s="378"/>
      <c r="Y289" s="378"/>
      <c r="Z289" s="378"/>
    </row>
    <row r="290" spans="2:26" s="359" customFormat="1" ht="20.100000000000001" customHeight="1">
      <c r="B290" s="378"/>
      <c r="C290" s="378"/>
      <c r="D290" s="378"/>
      <c r="E290" s="378"/>
      <c r="F290" s="378"/>
      <c r="G290" s="378"/>
      <c r="H290" s="378"/>
      <c r="I290" s="378"/>
      <c r="J290" s="378"/>
      <c r="K290" s="378"/>
      <c r="L290" s="378"/>
      <c r="M290" s="378"/>
      <c r="N290" s="378"/>
      <c r="O290" s="378"/>
      <c r="P290" s="378"/>
      <c r="Q290" s="378"/>
      <c r="R290" s="378"/>
      <c r="S290" s="378"/>
      <c r="T290" s="378"/>
      <c r="U290" s="378"/>
      <c r="V290" s="378"/>
      <c r="W290" s="378"/>
      <c r="X290" s="378"/>
      <c r="Y290" s="378"/>
      <c r="Z290" s="378"/>
    </row>
    <row r="291" spans="2:26" s="359" customFormat="1" ht="20.100000000000001" customHeight="1">
      <c r="B291" s="378"/>
      <c r="C291" s="378"/>
      <c r="D291" s="378"/>
      <c r="E291" s="378"/>
      <c r="F291" s="378"/>
      <c r="G291" s="378"/>
      <c r="H291" s="378"/>
      <c r="I291" s="378"/>
      <c r="J291" s="378"/>
      <c r="K291" s="378"/>
      <c r="L291" s="378"/>
      <c r="M291" s="378"/>
      <c r="N291" s="378"/>
      <c r="O291" s="378"/>
      <c r="P291" s="378"/>
      <c r="Q291" s="378"/>
      <c r="R291" s="378"/>
      <c r="S291" s="378"/>
      <c r="T291" s="378"/>
      <c r="U291" s="378"/>
      <c r="V291" s="378"/>
      <c r="W291" s="378"/>
      <c r="X291" s="378"/>
      <c r="Y291" s="378"/>
      <c r="Z291" s="378"/>
    </row>
    <row r="292" spans="2:26" s="359" customFormat="1" ht="20.100000000000001" customHeight="1">
      <c r="B292" s="378"/>
      <c r="C292" s="378"/>
      <c r="D292" s="378"/>
      <c r="E292" s="378"/>
      <c r="F292" s="378"/>
      <c r="G292" s="378"/>
      <c r="H292" s="378"/>
      <c r="I292" s="378"/>
      <c r="J292" s="378"/>
      <c r="K292" s="378"/>
      <c r="L292" s="378"/>
      <c r="M292" s="378"/>
      <c r="N292" s="378"/>
      <c r="O292" s="378"/>
      <c r="P292" s="378"/>
      <c r="Q292" s="378"/>
      <c r="R292" s="378"/>
      <c r="S292" s="378"/>
      <c r="T292" s="378"/>
      <c r="U292" s="378"/>
      <c r="V292" s="378"/>
      <c r="W292" s="378"/>
      <c r="X292" s="378"/>
      <c r="Y292" s="378"/>
      <c r="Z292" s="378"/>
    </row>
    <row r="293" spans="2:26" s="359" customFormat="1" ht="20.100000000000001" customHeight="1">
      <c r="B293" s="378"/>
      <c r="C293" s="378"/>
      <c r="D293" s="378"/>
      <c r="E293" s="378"/>
      <c r="F293" s="378"/>
      <c r="G293" s="378"/>
      <c r="H293" s="378"/>
      <c r="I293" s="378"/>
      <c r="J293" s="378"/>
      <c r="K293" s="378"/>
      <c r="L293" s="378"/>
      <c r="M293" s="378"/>
      <c r="N293" s="378"/>
      <c r="O293" s="378"/>
      <c r="P293" s="378"/>
      <c r="Q293" s="378"/>
      <c r="R293" s="378"/>
      <c r="S293" s="378"/>
      <c r="T293" s="378"/>
      <c r="U293" s="378"/>
      <c r="V293" s="378"/>
      <c r="W293" s="378"/>
      <c r="X293" s="378"/>
      <c r="Y293" s="378"/>
      <c r="Z293" s="378"/>
    </row>
    <row r="294" spans="2:26" s="359" customFormat="1" ht="20.100000000000001" customHeight="1">
      <c r="B294" s="378"/>
      <c r="C294" s="378"/>
      <c r="D294" s="378"/>
      <c r="E294" s="378"/>
      <c r="F294" s="378"/>
      <c r="G294" s="378"/>
      <c r="H294" s="378"/>
      <c r="I294" s="378"/>
      <c r="J294" s="378"/>
      <c r="K294" s="378"/>
      <c r="L294" s="378"/>
      <c r="M294" s="378"/>
      <c r="N294" s="378"/>
      <c r="O294" s="378"/>
      <c r="P294" s="378"/>
      <c r="Q294" s="378"/>
      <c r="R294" s="378"/>
      <c r="S294" s="378"/>
      <c r="T294" s="378"/>
      <c r="U294" s="378"/>
      <c r="V294" s="378"/>
      <c r="W294" s="378"/>
      <c r="X294" s="378"/>
      <c r="Y294" s="378"/>
      <c r="Z294" s="378"/>
    </row>
    <row r="295" spans="2:26" s="359" customFormat="1" ht="20.100000000000001" customHeight="1">
      <c r="B295" s="378"/>
      <c r="C295" s="378"/>
      <c r="D295" s="378"/>
      <c r="E295" s="378"/>
      <c r="F295" s="378"/>
      <c r="G295" s="378"/>
      <c r="H295" s="378"/>
      <c r="I295" s="378"/>
      <c r="J295" s="378"/>
      <c r="K295" s="378"/>
      <c r="L295" s="378"/>
      <c r="M295" s="378"/>
      <c r="N295" s="378"/>
      <c r="O295" s="378"/>
      <c r="P295" s="378"/>
      <c r="Q295" s="378"/>
      <c r="R295" s="378"/>
      <c r="S295" s="378"/>
      <c r="T295" s="378"/>
      <c r="U295" s="378"/>
      <c r="V295" s="378"/>
      <c r="W295" s="378"/>
      <c r="X295" s="378"/>
      <c r="Y295" s="378"/>
      <c r="Z295" s="378"/>
    </row>
    <row r="296" spans="2:26" s="359" customFormat="1" ht="20.100000000000001" customHeight="1">
      <c r="B296" s="378"/>
      <c r="C296" s="378"/>
      <c r="D296" s="378"/>
      <c r="E296" s="378"/>
      <c r="F296" s="378"/>
      <c r="G296" s="378"/>
      <c r="H296" s="378"/>
      <c r="I296" s="378"/>
      <c r="J296" s="378"/>
      <c r="K296" s="378"/>
      <c r="L296" s="378"/>
      <c r="M296" s="378"/>
      <c r="N296" s="378"/>
      <c r="O296" s="378"/>
      <c r="P296" s="378"/>
      <c r="Q296" s="378"/>
      <c r="R296" s="378"/>
      <c r="S296" s="378"/>
      <c r="T296" s="378"/>
      <c r="U296" s="378"/>
      <c r="V296" s="378"/>
      <c r="W296" s="378"/>
      <c r="X296" s="378"/>
      <c r="Y296" s="378"/>
      <c r="Z296" s="378"/>
    </row>
    <row r="297" spans="2:26" s="359" customFormat="1" ht="20.100000000000001" customHeight="1">
      <c r="B297" s="378"/>
      <c r="C297" s="378"/>
      <c r="D297" s="378"/>
      <c r="E297" s="378"/>
      <c r="F297" s="378"/>
      <c r="G297" s="378"/>
      <c r="H297" s="378"/>
      <c r="I297" s="378"/>
      <c r="J297" s="378"/>
      <c r="K297" s="378"/>
      <c r="L297" s="378"/>
      <c r="M297" s="378"/>
      <c r="N297" s="378"/>
      <c r="O297" s="378"/>
      <c r="P297" s="378"/>
      <c r="Q297" s="378"/>
      <c r="R297" s="378"/>
      <c r="S297" s="378"/>
      <c r="T297" s="378"/>
      <c r="U297" s="378"/>
      <c r="V297" s="378"/>
      <c r="W297" s="378"/>
      <c r="X297" s="378"/>
      <c r="Y297" s="378"/>
      <c r="Z297" s="378"/>
    </row>
    <row r="298" spans="2:26" s="359" customFormat="1" ht="20.100000000000001" customHeight="1">
      <c r="B298" s="378"/>
      <c r="C298" s="378"/>
      <c r="D298" s="378"/>
      <c r="E298" s="378"/>
      <c r="F298" s="378"/>
      <c r="G298" s="378"/>
      <c r="H298" s="378"/>
      <c r="I298" s="378"/>
      <c r="J298" s="378"/>
      <c r="K298" s="378"/>
      <c r="L298" s="378"/>
      <c r="M298" s="378"/>
      <c r="N298" s="378"/>
      <c r="O298" s="378"/>
      <c r="P298" s="378"/>
      <c r="Q298" s="378"/>
      <c r="R298" s="378"/>
      <c r="S298" s="378"/>
      <c r="T298" s="378"/>
      <c r="U298" s="378"/>
      <c r="V298" s="378"/>
      <c r="W298" s="378"/>
      <c r="X298" s="378"/>
      <c r="Y298" s="378"/>
      <c r="Z298" s="378"/>
    </row>
    <row r="299" spans="2:26" s="359" customFormat="1" ht="20.100000000000001" customHeight="1">
      <c r="B299" s="378"/>
      <c r="C299" s="378"/>
      <c r="D299" s="378"/>
      <c r="E299" s="378"/>
      <c r="F299" s="378"/>
      <c r="G299" s="378"/>
      <c r="H299" s="378"/>
      <c r="I299" s="378"/>
      <c r="J299" s="378"/>
      <c r="K299" s="378"/>
      <c r="L299" s="378"/>
      <c r="M299" s="378"/>
      <c r="N299" s="378"/>
      <c r="O299" s="378"/>
      <c r="P299" s="378"/>
      <c r="Q299" s="378"/>
      <c r="R299" s="378"/>
      <c r="S299" s="378"/>
      <c r="T299" s="378"/>
      <c r="U299" s="378"/>
      <c r="V299" s="378"/>
      <c r="W299" s="378"/>
      <c r="X299" s="378"/>
      <c r="Y299" s="378"/>
      <c r="Z299" s="378"/>
    </row>
    <row r="300" spans="2:26" s="359" customFormat="1" ht="20.100000000000001" customHeight="1">
      <c r="B300" s="378"/>
      <c r="C300" s="378"/>
      <c r="D300" s="378"/>
      <c r="E300" s="378"/>
      <c r="F300" s="378"/>
      <c r="G300" s="378"/>
      <c r="H300" s="378"/>
      <c r="I300" s="378"/>
      <c r="J300" s="378"/>
      <c r="K300" s="378"/>
      <c r="L300" s="378"/>
      <c r="M300" s="378"/>
      <c r="N300" s="378"/>
      <c r="O300" s="378"/>
      <c r="P300" s="378"/>
      <c r="Q300" s="378"/>
      <c r="R300" s="378"/>
      <c r="S300" s="378"/>
      <c r="T300" s="378"/>
      <c r="U300" s="378"/>
      <c r="V300" s="378"/>
      <c r="W300" s="378"/>
      <c r="X300" s="378"/>
      <c r="Y300" s="378"/>
      <c r="Z300" s="378"/>
    </row>
    <row r="301" spans="2:26" s="359" customFormat="1" ht="20.100000000000001" customHeight="1">
      <c r="B301" s="378"/>
      <c r="C301" s="378"/>
      <c r="D301" s="378"/>
      <c r="E301" s="378"/>
      <c r="F301" s="378"/>
      <c r="G301" s="378"/>
      <c r="H301" s="378"/>
      <c r="I301" s="378"/>
      <c r="J301" s="378"/>
      <c r="K301" s="378"/>
      <c r="L301" s="378"/>
      <c r="M301" s="378"/>
      <c r="N301" s="378"/>
      <c r="O301" s="378"/>
      <c r="P301" s="378"/>
      <c r="Q301" s="378"/>
      <c r="R301" s="378"/>
      <c r="S301" s="378"/>
      <c r="T301" s="378"/>
      <c r="U301" s="378"/>
      <c r="V301" s="378"/>
      <c r="W301" s="378"/>
      <c r="X301" s="378"/>
      <c r="Y301" s="378"/>
      <c r="Z301" s="378"/>
    </row>
    <row r="302" spans="2:26" s="359" customFormat="1" ht="20.100000000000001" customHeight="1">
      <c r="B302" s="378"/>
      <c r="C302" s="378"/>
      <c r="D302" s="378"/>
      <c r="E302" s="378"/>
      <c r="F302" s="378"/>
      <c r="G302" s="378"/>
      <c r="H302" s="378"/>
      <c r="I302" s="378"/>
      <c r="J302" s="378"/>
      <c r="K302" s="378"/>
      <c r="L302" s="378"/>
      <c r="M302" s="378"/>
      <c r="N302" s="378"/>
      <c r="O302" s="378"/>
      <c r="P302" s="378"/>
      <c r="Q302" s="378"/>
      <c r="R302" s="378"/>
      <c r="S302" s="378"/>
      <c r="T302" s="378"/>
      <c r="U302" s="378"/>
      <c r="V302" s="378"/>
      <c r="W302" s="378"/>
      <c r="X302" s="378"/>
      <c r="Y302" s="378"/>
      <c r="Z302" s="378"/>
    </row>
    <row r="303" spans="2:26" s="359" customFormat="1" ht="20.100000000000001" customHeight="1">
      <c r="B303" s="378"/>
      <c r="C303" s="378"/>
      <c r="D303" s="378"/>
      <c r="E303" s="378"/>
      <c r="F303" s="378"/>
      <c r="G303" s="378"/>
      <c r="H303" s="378"/>
      <c r="I303" s="378"/>
      <c r="J303" s="378"/>
      <c r="K303" s="378"/>
      <c r="L303" s="378"/>
      <c r="M303" s="378"/>
      <c r="N303" s="378"/>
      <c r="O303" s="378"/>
      <c r="P303" s="378"/>
      <c r="Q303" s="378"/>
      <c r="R303" s="378"/>
      <c r="S303" s="378"/>
      <c r="T303" s="378"/>
      <c r="U303" s="378"/>
      <c r="V303" s="378"/>
      <c r="W303" s="378"/>
      <c r="X303" s="378"/>
      <c r="Y303" s="378"/>
      <c r="Z303" s="378"/>
    </row>
    <row r="304" spans="2:26" s="359" customFormat="1" ht="20.100000000000001" customHeight="1">
      <c r="B304" s="378"/>
      <c r="C304" s="378"/>
      <c r="D304" s="378"/>
      <c r="E304" s="378"/>
      <c r="F304" s="378"/>
      <c r="G304" s="378"/>
      <c r="H304" s="378"/>
      <c r="I304" s="378"/>
      <c r="J304" s="378"/>
      <c r="K304" s="378"/>
      <c r="L304" s="378"/>
      <c r="M304" s="378"/>
      <c r="N304" s="378"/>
      <c r="O304" s="378"/>
      <c r="P304" s="378"/>
      <c r="Q304" s="378"/>
      <c r="R304" s="378"/>
      <c r="S304" s="378"/>
      <c r="T304" s="378"/>
      <c r="U304" s="378"/>
      <c r="V304" s="378"/>
      <c r="W304" s="378"/>
      <c r="X304" s="378"/>
      <c r="Y304" s="378"/>
      <c r="Z304" s="378"/>
    </row>
    <row r="305" spans="2:26" s="359" customFormat="1" ht="20.100000000000001" customHeight="1">
      <c r="B305" s="378"/>
      <c r="C305" s="378"/>
      <c r="D305" s="378"/>
      <c r="E305" s="378"/>
      <c r="F305" s="378"/>
      <c r="G305" s="378"/>
      <c r="H305" s="378"/>
      <c r="I305" s="378"/>
      <c r="J305" s="378"/>
      <c r="K305" s="378"/>
      <c r="L305" s="378"/>
      <c r="M305" s="378"/>
      <c r="N305" s="378"/>
      <c r="O305" s="378"/>
      <c r="P305" s="378"/>
      <c r="Q305" s="378"/>
      <c r="R305" s="378"/>
      <c r="S305" s="378"/>
      <c r="T305" s="378"/>
      <c r="U305" s="378"/>
      <c r="V305" s="378"/>
      <c r="W305" s="378"/>
      <c r="X305" s="378"/>
      <c r="Y305" s="378"/>
      <c r="Z305" s="378"/>
    </row>
    <row r="306" spans="2:26" s="359" customFormat="1" ht="20.100000000000001" customHeight="1">
      <c r="B306" s="378"/>
      <c r="C306" s="378"/>
      <c r="D306" s="378"/>
      <c r="E306" s="378"/>
      <c r="F306" s="378"/>
      <c r="G306" s="378"/>
      <c r="H306" s="378"/>
      <c r="I306" s="378"/>
      <c r="J306" s="378"/>
      <c r="K306" s="378"/>
      <c r="L306" s="378"/>
      <c r="M306" s="378"/>
      <c r="N306" s="378"/>
      <c r="O306" s="378"/>
      <c r="P306" s="378"/>
      <c r="Q306" s="378"/>
      <c r="R306" s="378"/>
      <c r="S306" s="378"/>
      <c r="T306" s="378"/>
      <c r="U306" s="378"/>
      <c r="V306" s="378"/>
      <c r="W306" s="378"/>
      <c r="X306" s="378"/>
      <c r="Y306" s="378"/>
      <c r="Z306" s="378"/>
    </row>
    <row r="307" spans="2:26" ht="20.100000000000001" customHeight="1"/>
    <row r="308" spans="2:26" ht="10.15" customHeight="1"/>
    <row r="309" spans="2:26" ht="20.100000000000001" customHeight="1"/>
    <row r="310" spans="2:26" ht="20.100000000000001" customHeight="1"/>
    <row r="311" spans="2:26" ht="20.100000000000001" customHeight="1"/>
    <row r="312" spans="2:26" s="359" customFormat="1" ht="20.100000000000001" customHeight="1">
      <c r="B312" s="378"/>
      <c r="C312" s="378"/>
      <c r="D312" s="378"/>
      <c r="E312" s="378"/>
      <c r="F312" s="378"/>
      <c r="G312" s="378"/>
      <c r="H312" s="378"/>
      <c r="I312" s="378"/>
      <c r="J312" s="378"/>
      <c r="K312" s="378"/>
      <c r="L312" s="378"/>
      <c r="M312" s="378"/>
      <c r="N312" s="378"/>
      <c r="O312" s="378"/>
      <c r="P312" s="378"/>
      <c r="Q312" s="378"/>
      <c r="R312" s="378"/>
      <c r="S312" s="378"/>
      <c r="T312" s="378"/>
      <c r="U312" s="378"/>
      <c r="V312" s="378"/>
      <c r="W312" s="378"/>
      <c r="X312" s="378"/>
      <c r="Y312" s="378"/>
      <c r="Z312" s="378"/>
    </row>
    <row r="313" spans="2:26" s="359" customFormat="1" ht="20.100000000000001" customHeight="1">
      <c r="B313" s="378"/>
      <c r="C313" s="378"/>
      <c r="D313" s="378"/>
      <c r="E313" s="378"/>
      <c r="F313" s="378"/>
      <c r="G313" s="378"/>
      <c r="H313" s="378"/>
      <c r="I313" s="378"/>
      <c r="J313" s="378"/>
      <c r="K313" s="378"/>
      <c r="L313" s="378"/>
      <c r="M313" s="378"/>
      <c r="N313" s="378"/>
      <c r="O313" s="378"/>
      <c r="P313" s="378"/>
      <c r="Q313" s="378"/>
      <c r="R313" s="378"/>
      <c r="S313" s="378"/>
      <c r="T313" s="378"/>
      <c r="U313" s="378"/>
      <c r="V313" s="378"/>
      <c r="W313" s="378"/>
      <c r="X313" s="378"/>
      <c r="Y313" s="378"/>
      <c r="Z313" s="378"/>
    </row>
    <row r="314" spans="2:26" s="359" customFormat="1" ht="20.100000000000001" customHeight="1">
      <c r="B314" s="378"/>
      <c r="C314" s="378"/>
      <c r="D314" s="378"/>
      <c r="E314" s="378"/>
      <c r="F314" s="378"/>
      <c r="G314" s="378"/>
      <c r="H314" s="378"/>
      <c r="I314" s="378"/>
      <c r="J314" s="378"/>
      <c r="K314" s="378"/>
      <c r="L314" s="378"/>
      <c r="M314" s="378"/>
      <c r="N314" s="378"/>
      <c r="O314" s="378"/>
      <c r="P314" s="378"/>
      <c r="Q314" s="378"/>
      <c r="R314" s="378"/>
      <c r="S314" s="378"/>
      <c r="T314" s="378"/>
      <c r="U314" s="378"/>
      <c r="V314" s="378"/>
      <c r="W314" s="378"/>
      <c r="X314" s="378"/>
      <c r="Y314" s="378"/>
      <c r="Z314" s="378"/>
    </row>
    <row r="315" spans="2:26" s="359" customFormat="1" ht="20.100000000000001" customHeight="1">
      <c r="B315" s="378"/>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c r="Y315" s="378"/>
      <c r="Z315" s="378"/>
    </row>
    <row r="316" spans="2:26" s="359" customFormat="1" ht="20.100000000000001" customHeight="1">
      <c r="B316" s="378"/>
      <c r="C316" s="378"/>
      <c r="D316" s="378"/>
      <c r="E316" s="378"/>
      <c r="F316" s="378"/>
      <c r="G316" s="378"/>
      <c r="H316" s="378"/>
      <c r="I316" s="378"/>
      <c r="J316" s="378"/>
      <c r="K316" s="378"/>
      <c r="L316" s="378"/>
      <c r="M316" s="378"/>
      <c r="N316" s="378"/>
      <c r="O316" s="378"/>
      <c r="P316" s="378"/>
      <c r="Q316" s="378"/>
      <c r="R316" s="378"/>
      <c r="S316" s="378"/>
      <c r="T316" s="378"/>
      <c r="U316" s="378"/>
      <c r="V316" s="378"/>
      <c r="W316" s="378"/>
      <c r="X316" s="378"/>
      <c r="Y316" s="378"/>
      <c r="Z316" s="378"/>
    </row>
    <row r="317" spans="2:26" s="359" customFormat="1" ht="20.100000000000001" customHeight="1">
      <c r="B317" s="378"/>
      <c r="C317" s="378"/>
      <c r="D317" s="378"/>
      <c r="E317" s="378"/>
      <c r="F317" s="378"/>
      <c r="G317" s="378"/>
      <c r="H317" s="378"/>
      <c r="I317" s="378"/>
      <c r="J317" s="378"/>
      <c r="K317" s="378"/>
      <c r="L317" s="378"/>
      <c r="M317" s="378"/>
      <c r="N317" s="378"/>
      <c r="O317" s="378"/>
      <c r="P317" s="378"/>
      <c r="Q317" s="378"/>
      <c r="R317" s="378"/>
      <c r="S317" s="378"/>
      <c r="T317" s="378"/>
      <c r="U317" s="378"/>
      <c r="V317" s="378"/>
      <c r="W317" s="378"/>
      <c r="X317" s="378"/>
      <c r="Y317" s="378"/>
      <c r="Z317" s="378"/>
    </row>
    <row r="318" spans="2:26" s="359" customFormat="1" ht="20.100000000000001" customHeight="1">
      <c r="B318" s="378"/>
      <c r="C318" s="378"/>
      <c r="D318" s="378"/>
      <c r="E318" s="378"/>
      <c r="F318" s="378"/>
      <c r="G318" s="378"/>
      <c r="H318" s="378"/>
      <c r="I318" s="378"/>
      <c r="J318" s="378"/>
      <c r="K318" s="378"/>
      <c r="L318" s="378"/>
      <c r="M318" s="378"/>
      <c r="N318" s="378"/>
      <c r="O318" s="378"/>
      <c r="P318" s="378"/>
      <c r="Q318" s="378"/>
      <c r="R318" s="378"/>
      <c r="S318" s="378"/>
      <c r="T318" s="378"/>
      <c r="U318" s="378"/>
      <c r="V318" s="378"/>
      <c r="W318" s="378"/>
      <c r="X318" s="378"/>
      <c r="Y318" s="378"/>
      <c r="Z318" s="378"/>
    </row>
    <row r="319" spans="2:26" s="359" customFormat="1" ht="20.100000000000001" customHeight="1">
      <c r="B319" s="378"/>
      <c r="C319" s="378"/>
      <c r="D319" s="378"/>
      <c r="E319" s="378"/>
      <c r="F319" s="378"/>
      <c r="G319" s="378"/>
      <c r="H319" s="378"/>
      <c r="I319" s="378"/>
      <c r="J319" s="378"/>
      <c r="K319" s="378"/>
      <c r="L319" s="378"/>
      <c r="M319" s="378"/>
      <c r="N319" s="378"/>
      <c r="O319" s="378"/>
      <c r="P319" s="378"/>
      <c r="Q319" s="378"/>
      <c r="R319" s="378"/>
      <c r="S319" s="378"/>
      <c r="T319" s="378"/>
      <c r="U319" s="378"/>
      <c r="V319" s="378"/>
      <c r="W319" s="378"/>
      <c r="X319" s="378"/>
      <c r="Y319" s="378"/>
      <c r="Z319" s="378"/>
    </row>
    <row r="320" spans="2:26" s="359" customFormat="1" ht="20.100000000000001" customHeight="1">
      <c r="B320" s="378"/>
      <c r="C320" s="378"/>
      <c r="D320" s="378"/>
      <c r="E320" s="378"/>
      <c r="F320" s="378"/>
      <c r="G320" s="378"/>
      <c r="H320" s="378"/>
      <c r="I320" s="378"/>
      <c r="J320" s="378"/>
      <c r="K320" s="378"/>
      <c r="L320" s="378"/>
      <c r="M320" s="378"/>
      <c r="N320" s="378"/>
      <c r="O320" s="378"/>
      <c r="P320" s="378"/>
      <c r="Q320" s="378"/>
      <c r="R320" s="378"/>
      <c r="S320" s="378"/>
      <c r="T320" s="378"/>
      <c r="U320" s="378"/>
      <c r="V320" s="378"/>
      <c r="W320" s="378"/>
      <c r="X320" s="378"/>
      <c r="Y320" s="378"/>
      <c r="Z320" s="378"/>
    </row>
    <row r="321" spans="2:26" s="359" customFormat="1" ht="20.100000000000001" customHeight="1">
      <c r="B321" s="378"/>
      <c r="C321" s="378"/>
      <c r="D321" s="378"/>
      <c r="E321" s="378"/>
      <c r="F321" s="378"/>
      <c r="G321" s="378"/>
      <c r="H321" s="378"/>
      <c r="I321" s="378"/>
      <c r="J321" s="378"/>
      <c r="K321" s="378"/>
      <c r="L321" s="378"/>
      <c r="M321" s="378"/>
      <c r="N321" s="378"/>
      <c r="O321" s="378"/>
      <c r="P321" s="378"/>
      <c r="Q321" s="378"/>
      <c r="R321" s="378"/>
      <c r="S321" s="378"/>
      <c r="T321" s="378"/>
      <c r="U321" s="378"/>
      <c r="V321" s="378"/>
      <c r="W321" s="378"/>
      <c r="X321" s="378"/>
      <c r="Y321" s="378"/>
      <c r="Z321" s="378"/>
    </row>
    <row r="322" spans="2:26" s="359" customFormat="1" ht="20.100000000000001" customHeight="1">
      <c r="B322" s="378"/>
      <c r="C322" s="378"/>
      <c r="D322" s="378"/>
      <c r="E322" s="378"/>
      <c r="F322" s="378"/>
      <c r="G322" s="378"/>
      <c r="H322" s="378"/>
      <c r="I322" s="378"/>
      <c r="J322" s="378"/>
      <c r="K322" s="378"/>
      <c r="L322" s="378"/>
      <c r="M322" s="378"/>
      <c r="N322" s="378"/>
      <c r="O322" s="378"/>
      <c r="P322" s="378"/>
      <c r="Q322" s="378"/>
      <c r="R322" s="378"/>
      <c r="S322" s="378"/>
      <c r="T322" s="378"/>
      <c r="U322" s="378"/>
      <c r="V322" s="378"/>
      <c r="W322" s="378"/>
      <c r="X322" s="378"/>
      <c r="Y322" s="378"/>
      <c r="Z322" s="378"/>
    </row>
    <row r="323" spans="2:26" s="359" customFormat="1" ht="20.100000000000001" customHeight="1">
      <c r="B323" s="378"/>
      <c r="C323" s="378"/>
      <c r="D323" s="378"/>
      <c r="E323" s="378"/>
      <c r="F323" s="378"/>
      <c r="G323" s="378"/>
      <c r="H323" s="378"/>
      <c r="I323" s="378"/>
      <c r="J323" s="378"/>
      <c r="K323" s="378"/>
      <c r="L323" s="378"/>
      <c r="M323" s="378"/>
      <c r="N323" s="378"/>
      <c r="O323" s="378"/>
      <c r="P323" s="378"/>
      <c r="Q323" s="378"/>
      <c r="R323" s="378"/>
      <c r="S323" s="378"/>
      <c r="T323" s="378"/>
      <c r="U323" s="378"/>
      <c r="V323" s="378"/>
      <c r="W323" s="378"/>
      <c r="X323" s="378"/>
      <c r="Y323" s="378"/>
      <c r="Z323" s="378"/>
    </row>
    <row r="324" spans="2:26" s="359" customFormat="1" ht="20.100000000000001" customHeight="1">
      <c r="B324" s="378"/>
      <c r="C324" s="378"/>
      <c r="D324" s="378"/>
      <c r="E324" s="378"/>
      <c r="F324" s="378"/>
      <c r="G324" s="378"/>
      <c r="H324" s="378"/>
      <c r="I324" s="378"/>
      <c r="J324" s="378"/>
      <c r="K324" s="378"/>
      <c r="L324" s="378"/>
      <c r="M324" s="378"/>
      <c r="N324" s="378"/>
      <c r="O324" s="378"/>
      <c r="P324" s="378"/>
      <c r="Q324" s="378"/>
      <c r="R324" s="378"/>
      <c r="S324" s="378"/>
      <c r="T324" s="378"/>
      <c r="U324" s="378"/>
      <c r="V324" s="378"/>
      <c r="W324" s="378"/>
      <c r="X324" s="378"/>
      <c r="Y324" s="378"/>
      <c r="Z324" s="378"/>
    </row>
    <row r="325" spans="2:26" s="359" customFormat="1" ht="20.100000000000001" customHeight="1">
      <c r="B325" s="378"/>
      <c r="C325" s="378"/>
      <c r="D325" s="378"/>
      <c r="E325" s="378"/>
      <c r="F325" s="378"/>
      <c r="G325" s="378"/>
      <c r="H325" s="378"/>
      <c r="I325" s="378"/>
      <c r="J325" s="378"/>
      <c r="K325" s="378"/>
      <c r="L325" s="378"/>
      <c r="M325" s="378"/>
      <c r="N325" s="378"/>
      <c r="O325" s="378"/>
      <c r="P325" s="378"/>
      <c r="Q325" s="378"/>
      <c r="R325" s="378"/>
      <c r="S325" s="378"/>
      <c r="T325" s="378"/>
      <c r="U325" s="378"/>
      <c r="V325" s="378"/>
      <c r="W325" s="378"/>
      <c r="X325" s="378"/>
      <c r="Y325" s="378"/>
      <c r="Z325" s="378"/>
    </row>
    <row r="326" spans="2:26" s="359" customFormat="1" ht="20.100000000000001" customHeight="1">
      <c r="B326" s="378"/>
      <c r="C326" s="378"/>
      <c r="D326" s="378"/>
      <c r="E326" s="378"/>
      <c r="F326" s="378"/>
      <c r="G326" s="378"/>
      <c r="H326" s="378"/>
      <c r="I326" s="378"/>
      <c r="J326" s="378"/>
      <c r="K326" s="378"/>
      <c r="L326" s="378"/>
      <c r="M326" s="378"/>
      <c r="N326" s="378"/>
      <c r="O326" s="378"/>
      <c r="P326" s="378"/>
      <c r="Q326" s="378"/>
      <c r="R326" s="378"/>
      <c r="S326" s="378"/>
      <c r="T326" s="378"/>
      <c r="U326" s="378"/>
      <c r="V326" s="378"/>
      <c r="W326" s="378"/>
      <c r="X326" s="378"/>
      <c r="Y326" s="378"/>
      <c r="Z326" s="378"/>
    </row>
    <row r="327" spans="2:26" s="359" customFormat="1" ht="20.100000000000001" customHeight="1">
      <c r="B327" s="378"/>
      <c r="C327" s="378"/>
      <c r="D327" s="378"/>
      <c r="E327" s="378"/>
      <c r="F327" s="378"/>
      <c r="G327" s="378"/>
      <c r="H327" s="378"/>
      <c r="I327" s="378"/>
      <c r="J327" s="378"/>
      <c r="K327" s="378"/>
      <c r="L327" s="378"/>
      <c r="M327" s="378"/>
      <c r="N327" s="378"/>
      <c r="O327" s="378"/>
      <c r="P327" s="378"/>
      <c r="Q327" s="378"/>
      <c r="R327" s="378"/>
      <c r="S327" s="378"/>
      <c r="T327" s="378"/>
      <c r="U327" s="378"/>
      <c r="V327" s="378"/>
      <c r="W327" s="378"/>
      <c r="X327" s="378"/>
      <c r="Y327" s="378"/>
      <c r="Z327" s="378"/>
    </row>
    <row r="328" spans="2:26" s="359" customFormat="1" ht="20.100000000000001" customHeight="1">
      <c r="B328" s="378"/>
      <c r="C328" s="378"/>
      <c r="D328" s="378"/>
      <c r="E328" s="378"/>
      <c r="F328" s="378"/>
      <c r="G328" s="378"/>
      <c r="H328" s="378"/>
      <c r="I328" s="378"/>
      <c r="J328" s="378"/>
      <c r="K328" s="378"/>
      <c r="L328" s="378"/>
      <c r="M328" s="378"/>
      <c r="N328" s="378"/>
      <c r="O328" s="378"/>
      <c r="P328" s="378"/>
      <c r="Q328" s="378"/>
      <c r="R328" s="378"/>
      <c r="S328" s="378"/>
      <c r="T328" s="378"/>
      <c r="U328" s="378"/>
      <c r="V328" s="378"/>
      <c r="W328" s="378"/>
      <c r="X328" s="378"/>
      <c r="Y328" s="378"/>
      <c r="Z328" s="378"/>
    </row>
    <row r="329" spans="2:26" s="359" customFormat="1" ht="20.100000000000001" customHeight="1">
      <c r="B329" s="378"/>
      <c r="C329" s="378"/>
      <c r="D329" s="378"/>
      <c r="E329" s="378"/>
      <c r="F329" s="378"/>
      <c r="G329" s="378"/>
      <c r="H329" s="378"/>
      <c r="I329" s="378"/>
      <c r="J329" s="378"/>
      <c r="K329" s="378"/>
      <c r="L329" s="378"/>
      <c r="M329" s="378"/>
      <c r="N329" s="378"/>
      <c r="O329" s="378"/>
      <c r="P329" s="378"/>
      <c r="Q329" s="378"/>
      <c r="R329" s="378"/>
      <c r="S329" s="378"/>
      <c r="T329" s="378"/>
      <c r="U329" s="378"/>
      <c r="V329" s="378"/>
      <c r="W329" s="378"/>
      <c r="X329" s="378"/>
      <c r="Y329" s="378"/>
      <c r="Z329" s="378"/>
    </row>
    <row r="330" spans="2:26" s="359" customFormat="1" ht="20.100000000000001" customHeight="1">
      <c r="B330" s="378"/>
      <c r="C330" s="378"/>
      <c r="D330" s="378"/>
      <c r="E330" s="378"/>
      <c r="F330" s="378"/>
      <c r="G330" s="378"/>
      <c r="H330" s="378"/>
      <c r="I330" s="378"/>
      <c r="J330" s="378"/>
      <c r="K330" s="378"/>
      <c r="L330" s="378"/>
      <c r="M330" s="378"/>
      <c r="N330" s="378"/>
      <c r="O330" s="378"/>
      <c r="P330" s="378"/>
      <c r="Q330" s="378"/>
      <c r="R330" s="378"/>
      <c r="S330" s="378"/>
      <c r="T330" s="378"/>
      <c r="U330" s="378"/>
      <c r="V330" s="378"/>
      <c r="W330" s="378"/>
      <c r="X330" s="378"/>
      <c r="Y330" s="378"/>
      <c r="Z330" s="378"/>
    </row>
    <row r="331" spans="2:26" s="359" customFormat="1" ht="20.100000000000001" customHeight="1">
      <c r="B331" s="378"/>
      <c r="C331" s="378"/>
      <c r="D331" s="378"/>
      <c r="E331" s="378"/>
      <c r="F331" s="378"/>
      <c r="G331" s="378"/>
      <c r="H331" s="378"/>
      <c r="I331" s="378"/>
      <c r="J331" s="378"/>
      <c r="K331" s="378"/>
      <c r="L331" s="378"/>
      <c r="M331" s="378"/>
      <c r="N331" s="378"/>
      <c r="O331" s="378"/>
      <c r="P331" s="378"/>
      <c r="Q331" s="378"/>
      <c r="R331" s="378"/>
      <c r="S331" s="378"/>
      <c r="T331" s="378"/>
      <c r="U331" s="378"/>
      <c r="V331" s="378"/>
      <c r="W331" s="378"/>
      <c r="X331" s="378"/>
      <c r="Y331" s="378"/>
      <c r="Z331" s="378"/>
    </row>
    <row r="332" spans="2:26" s="359" customFormat="1" ht="20.100000000000001" customHeight="1">
      <c r="B332" s="378"/>
      <c r="C332" s="378"/>
      <c r="D332" s="378"/>
      <c r="E332" s="378"/>
      <c r="F332" s="378"/>
      <c r="G332" s="378"/>
      <c r="H332" s="378"/>
      <c r="I332" s="378"/>
      <c r="J332" s="378"/>
      <c r="K332" s="378"/>
      <c r="L332" s="378"/>
      <c r="M332" s="378"/>
      <c r="N332" s="378"/>
      <c r="O332" s="378"/>
      <c r="P332" s="378"/>
      <c r="Q332" s="378"/>
      <c r="R332" s="378"/>
      <c r="S332" s="378"/>
      <c r="T332" s="378"/>
      <c r="U332" s="378"/>
      <c r="V332" s="378"/>
      <c r="W332" s="378"/>
      <c r="X332" s="378"/>
      <c r="Y332" s="378"/>
      <c r="Z332" s="378"/>
    </row>
    <row r="333" spans="2:26" s="359" customFormat="1" ht="20.100000000000001" customHeight="1">
      <c r="B333" s="378"/>
      <c r="C333" s="378"/>
      <c r="D333" s="378"/>
      <c r="E333" s="378"/>
      <c r="F333" s="378"/>
      <c r="G333" s="378"/>
      <c r="H333" s="378"/>
      <c r="I333" s="378"/>
      <c r="J333" s="378"/>
      <c r="K333" s="378"/>
      <c r="L333" s="378"/>
      <c r="M333" s="378"/>
      <c r="N333" s="378"/>
      <c r="O333" s="378"/>
      <c r="P333" s="378"/>
      <c r="Q333" s="378"/>
      <c r="R333" s="378"/>
      <c r="S333" s="378"/>
      <c r="T333" s="378"/>
      <c r="U333" s="378"/>
      <c r="V333" s="378"/>
      <c r="W333" s="378"/>
      <c r="X333" s="378"/>
      <c r="Y333" s="378"/>
      <c r="Z333" s="378"/>
    </row>
    <row r="334" spans="2:26" s="359" customFormat="1" ht="20.100000000000001" customHeight="1">
      <c r="B334" s="378"/>
      <c r="C334" s="378"/>
      <c r="D334" s="378"/>
      <c r="E334" s="378"/>
      <c r="F334" s="378"/>
      <c r="G334" s="378"/>
      <c r="H334" s="378"/>
      <c r="I334" s="378"/>
      <c r="J334" s="378"/>
      <c r="K334" s="378"/>
      <c r="L334" s="378"/>
      <c r="M334" s="378"/>
      <c r="N334" s="378"/>
      <c r="O334" s="378"/>
      <c r="P334" s="378"/>
      <c r="Q334" s="378"/>
      <c r="R334" s="378"/>
      <c r="S334" s="378"/>
      <c r="T334" s="378"/>
      <c r="U334" s="378"/>
      <c r="V334" s="378"/>
      <c r="W334" s="378"/>
      <c r="X334" s="378"/>
      <c r="Y334" s="378"/>
      <c r="Z334" s="378"/>
    </row>
    <row r="335" spans="2:26" s="359" customFormat="1" ht="20.100000000000001" customHeight="1">
      <c r="B335" s="378"/>
      <c r="C335" s="378"/>
      <c r="D335" s="378"/>
      <c r="E335" s="378"/>
      <c r="F335" s="378"/>
      <c r="G335" s="378"/>
      <c r="H335" s="378"/>
      <c r="I335" s="378"/>
      <c r="J335" s="378"/>
      <c r="K335" s="378"/>
      <c r="L335" s="378"/>
      <c r="M335" s="378"/>
      <c r="N335" s="378"/>
      <c r="O335" s="378"/>
      <c r="P335" s="378"/>
      <c r="Q335" s="378"/>
      <c r="R335" s="378"/>
      <c r="S335" s="378"/>
      <c r="T335" s="378"/>
      <c r="U335" s="378"/>
      <c r="V335" s="378"/>
      <c r="W335" s="378"/>
      <c r="X335" s="378"/>
      <c r="Y335" s="378"/>
      <c r="Z335" s="378"/>
    </row>
    <row r="336" spans="2:26" s="359" customFormat="1" ht="20.100000000000001" customHeight="1">
      <c r="B336" s="378"/>
      <c r="C336" s="378"/>
      <c r="D336" s="378"/>
      <c r="E336" s="378"/>
      <c r="F336" s="378"/>
      <c r="G336" s="378"/>
      <c r="H336" s="378"/>
      <c r="I336" s="378"/>
      <c r="J336" s="378"/>
      <c r="K336" s="378"/>
      <c r="L336" s="378"/>
      <c r="M336" s="378"/>
      <c r="N336" s="378"/>
      <c r="O336" s="378"/>
      <c r="P336" s="378"/>
      <c r="Q336" s="378"/>
      <c r="R336" s="378"/>
      <c r="S336" s="378"/>
      <c r="T336" s="378"/>
      <c r="U336" s="378"/>
      <c r="V336" s="378"/>
      <c r="W336" s="378"/>
      <c r="X336" s="378"/>
      <c r="Y336" s="378"/>
      <c r="Z336" s="378"/>
    </row>
    <row r="337" spans="2:26" s="359" customFormat="1" ht="20.100000000000001" customHeight="1">
      <c r="B337" s="378"/>
      <c r="C337" s="378"/>
      <c r="D337" s="378"/>
      <c r="E337" s="378"/>
      <c r="F337" s="378"/>
      <c r="G337" s="378"/>
      <c r="H337" s="378"/>
      <c r="I337" s="378"/>
      <c r="J337" s="378"/>
      <c r="K337" s="378"/>
      <c r="L337" s="378"/>
      <c r="M337" s="378"/>
      <c r="N337" s="378"/>
      <c r="O337" s="378"/>
      <c r="P337" s="378"/>
      <c r="Q337" s="378"/>
      <c r="R337" s="378"/>
      <c r="S337" s="378"/>
      <c r="T337" s="378"/>
      <c r="U337" s="378"/>
      <c r="V337" s="378"/>
      <c r="W337" s="378"/>
      <c r="X337" s="378"/>
      <c r="Y337" s="378"/>
      <c r="Z337" s="378"/>
    </row>
    <row r="338" spans="2:26" s="359" customFormat="1" ht="20.100000000000001" customHeight="1">
      <c r="B338" s="378"/>
      <c r="C338" s="378"/>
      <c r="D338" s="378"/>
      <c r="E338" s="378"/>
      <c r="F338" s="378"/>
      <c r="G338" s="378"/>
      <c r="H338" s="378"/>
      <c r="I338" s="378"/>
      <c r="J338" s="378"/>
      <c r="K338" s="378"/>
      <c r="L338" s="378"/>
      <c r="M338" s="378"/>
      <c r="N338" s="378"/>
      <c r="O338" s="378"/>
      <c r="P338" s="378"/>
      <c r="Q338" s="378"/>
      <c r="R338" s="378"/>
      <c r="S338" s="378"/>
      <c r="T338" s="378"/>
      <c r="U338" s="378"/>
      <c r="V338" s="378"/>
      <c r="W338" s="378"/>
      <c r="X338" s="378"/>
      <c r="Y338" s="378"/>
      <c r="Z338" s="378"/>
    </row>
    <row r="339" spans="2:26" s="359" customFormat="1" ht="20.100000000000001" customHeight="1">
      <c r="B339" s="378"/>
      <c r="C339" s="378"/>
      <c r="D339" s="378"/>
      <c r="E339" s="378"/>
      <c r="F339" s="378"/>
      <c r="G339" s="378"/>
      <c r="H339" s="378"/>
      <c r="I339" s="378"/>
      <c r="J339" s="378"/>
      <c r="K339" s="378"/>
      <c r="L339" s="378"/>
      <c r="M339" s="378"/>
      <c r="N339" s="378"/>
      <c r="O339" s="378"/>
      <c r="P339" s="378"/>
      <c r="Q339" s="378"/>
      <c r="R339" s="378"/>
      <c r="S339" s="378"/>
      <c r="T339" s="378"/>
      <c r="U339" s="378"/>
      <c r="V339" s="378"/>
      <c r="W339" s="378"/>
      <c r="X339" s="378"/>
      <c r="Y339" s="378"/>
      <c r="Z339" s="378"/>
    </row>
    <row r="340" spans="2:26" s="359" customFormat="1" ht="20.100000000000001" customHeight="1">
      <c r="B340" s="378"/>
      <c r="C340" s="378"/>
      <c r="D340" s="378"/>
      <c r="E340" s="378"/>
      <c r="F340" s="378"/>
      <c r="G340" s="378"/>
      <c r="H340" s="378"/>
      <c r="I340" s="378"/>
      <c r="J340" s="378"/>
      <c r="K340" s="378"/>
      <c r="L340" s="378"/>
      <c r="M340" s="378"/>
      <c r="N340" s="378"/>
      <c r="O340" s="378"/>
      <c r="P340" s="378"/>
      <c r="Q340" s="378"/>
      <c r="R340" s="378"/>
      <c r="S340" s="378"/>
      <c r="T340" s="378"/>
      <c r="U340" s="378"/>
      <c r="V340" s="378"/>
      <c r="W340" s="378"/>
      <c r="X340" s="378"/>
      <c r="Y340" s="378"/>
      <c r="Z340" s="378"/>
    </row>
    <row r="341" spans="2:26" s="359" customFormat="1" ht="20.100000000000001" customHeight="1">
      <c r="B341" s="378"/>
      <c r="C341" s="378"/>
      <c r="D341" s="378"/>
      <c r="E341" s="378"/>
      <c r="F341" s="378"/>
      <c r="G341" s="378"/>
      <c r="H341" s="378"/>
      <c r="I341" s="378"/>
      <c r="J341" s="378"/>
      <c r="K341" s="378"/>
      <c r="L341" s="378"/>
      <c r="M341" s="378"/>
      <c r="N341" s="378"/>
      <c r="O341" s="378"/>
      <c r="P341" s="378"/>
      <c r="Q341" s="378"/>
      <c r="R341" s="378"/>
      <c r="S341" s="378"/>
      <c r="T341" s="378"/>
      <c r="U341" s="378"/>
      <c r="V341" s="378"/>
      <c r="W341" s="378"/>
      <c r="X341" s="378"/>
      <c r="Y341" s="378"/>
      <c r="Z341" s="378"/>
    </row>
    <row r="342" spans="2:26" s="359" customFormat="1" ht="20.100000000000001" customHeight="1">
      <c r="B342" s="378"/>
      <c r="C342" s="378"/>
      <c r="D342" s="378"/>
      <c r="E342" s="378"/>
      <c r="F342" s="378"/>
      <c r="G342" s="378"/>
      <c r="H342" s="378"/>
      <c r="I342" s="378"/>
      <c r="J342" s="378"/>
      <c r="K342" s="378"/>
      <c r="L342" s="378"/>
      <c r="M342" s="378"/>
      <c r="N342" s="378"/>
      <c r="O342" s="378"/>
      <c r="P342" s="378"/>
      <c r="Q342" s="378"/>
      <c r="R342" s="378"/>
      <c r="S342" s="378"/>
      <c r="T342" s="378"/>
      <c r="U342" s="378"/>
      <c r="V342" s="378"/>
      <c r="W342" s="378"/>
      <c r="X342" s="378"/>
      <c r="Y342" s="378"/>
      <c r="Z342" s="378"/>
    </row>
    <row r="343" spans="2:26" s="359" customFormat="1" ht="20.100000000000001" customHeight="1">
      <c r="B343" s="378"/>
      <c r="C343" s="378"/>
      <c r="D343" s="378"/>
      <c r="E343" s="378"/>
      <c r="F343" s="378"/>
      <c r="G343" s="378"/>
      <c r="H343" s="378"/>
      <c r="I343" s="378"/>
      <c r="J343" s="378"/>
      <c r="K343" s="378"/>
      <c r="L343" s="378"/>
      <c r="M343" s="378"/>
      <c r="N343" s="378"/>
      <c r="O343" s="378"/>
      <c r="P343" s="378"/>
      <c r="Q343" s="378"/>
      <c r="R343" s="378"/>
      <c r="S343" s="378"/>
      <c r="T343" s="378"/>
      <c r="U343" s="378"/>
      <c r="V343" s="378"/>
      <c r="W343" s="378"/>
      <c r="X343" s="378"/>
      <c r="Y343" s="378"/>
      <c r="Z343" s="378"/>
    </row>
    <row r="344" spans="2:26" s="359" customFormat="1" ht="20.100000000000001" customHeight="1">
      <c r="B344" s="378"/>
      <c r="C344" s="378"/>
      <c r="D344" s="378"/>
      <c r="E344" s="378"/>
      <c r="F344" s="378"/>
      <c r="G344" s="378"/>
      <c r="H344" s="378"/>
      <c r="I344" s="378"/>
      <c r="J344" s="378"/>
      <c r="K344" s="378"/>
      <c r="L344" s="378"/>
      <c r="M344" s="378"/>
      <c r="N344" s="378"/>
      <c r="O344" s="378"/>
      <c r="P344" s="378"/>
      <c r="Q344" s="378"/>
      <c r="R344" s="378"/>
      <c r="S344" s="378"/>
      <c r="T344" s="378"/>
      <c r="U344" s="378"/>
      <c r="V344" s="378"/>
      <c r="W344" s="378"/>
      <c r="X344" s="378"/>
      <c r="Y344" s="378"/>
      <c r="Z344" s="378"/>
    </row>
    <row r="345" spans="2:26" s="359" customFormat="1" ht="20.100000000000001" customHeight="1">
      <c r="B345" s="378"/>
      <c r="C345" s="378"/>
      <c r="D345" s="378"/>
      <c r="E345" s="378"/>
      <c r="F345" s="378"/>
      <c r="G345" s="378"/>
      <c r="H345" s="378"/>
      <c r="I345" s="378"/>
      <c r="J345" s="378"/>
      <c r="K345" s="378"/>
      <c r="L345" s="378"/>
      <c r="M345" s="378"/>
      <c r="N345" s="378"/>
      <c r="O345" s="378"/>
      <c r="P345" s="378"/>
      <c r="Q345" s="378"/>
      <c r="R345" s="378"/>
      <c r="S345" s="378"/>
      <c r="T345" s="378"/>
      <c r="U345" s="378"/>
      <c r="V345" s="378"/>
      <c r="W345" s="378"/>
      <c r="X345" s="378"/>
      <c r="Y345" s="378"/>
      <c r="Z345" s="378"/>
    </row>
    <row r="346" spans="2:26" s="359" customFormat="1" ht="20.100000000000001" customHeight="1">
      <c r="B346" s="378"/>
      <c r="C346" s="378"/>
      <c r="D346" s="378"/>
      <c r="E346" s="378"/>
      <c r="F346" s="378"/>
      <c r="G346" s="378"/>
      <c r="H346" s="378"/>
      <c r="I346" s="378"/>
      <c r="J346" s="378"/>
      <c r="K346" s="378"/>
      <c r="L346" s="378"/>
      <c r="M346" s="378"/>
      <c r="N346" s="378"/>
      <c r="O346" s="378"/>
      <c r="P346" s="378"/>
      <c r="Q346" s="378"/>
      <c r="R346" s="378"/>
      <c r="S346" s="378"/>
      <c r="T346" s="378"/>
      <c r="U346" s="378"/>
      <c r="V346" s="378"/>
      <c r="W346" s="378"/>
      <c r="X346" s="378"/>
      <c r="Y346" s="378"/>
      <c r="Z346" s="378"/>
    </row>
    <row r="347" spans="2:26" s="359" customFormat="1" ht="20.100000000000001" customHeight="1">
      <c r="B347" s="378"/>
      <c r="C347" s="378"/>
      <c r="D347" s="378"/>
      <c r="E347" s="378"/>
      <c r="F347" s="378"/>
      <c r="G347" s="378"/>
      <c r="H347" s="378"/>
      <c r="I347" s="378"/>
      <c r="J347" s="378"/>
      <c r="K347" s="378"/>
      <c r="L347" s="378"/>
      <c r="M347" s="378"/>
      <c r="N347" s="378"/>
      <c r="O347" s="378"/>
      <c r="P347" s="378"/>
      <c r="Q347" s="378"/>
      <c r="R347" s="378"/>
      <c r="S347" s="378"/>
      <c r="T347" s="378"/>
      <c r="U347" s="378"/>
      <c r="V347" s="378"/>
      <c r="W347" s="378"/>
      <c r="X347" s="378"/>
      <c r="Y347" s="378"/>
      <c r="Z347" s="378"/>
    </row>
    <row r="348" spans="2:26" s="359" customFormat="1" ht="20.100000000000001" customHeight="1">
      <c r="B348" s="378"/>
      <c r="C348" s="378"/>
      <c r="D348" s="378"/>
      <c r="E348" s="378"/>
      <c r="F348" s="378"/>
      <c r="G348" s="378"/>
      <c r="H348" s="378"/>
      <c r="I348" s="378"/>
      <c r="J348" s="378"/>
      <c r="K348" s="378"/>
      <c r="L348" s="378"/>
      <c r="M348" s="378"/>
      <c r="N348" s="378"/>
      <c r="O348" s="378"/>
      <c r="P348" s="378"/>
      <c r="Q348" s="378"/>
      <c r="R348" s="378"/>
      <c r="S348" s="378"/>
      <c r="T348" s="378"/>
      <c r="U348" s="378"/>
      <c r="V348" s="378"/>
      <c r="W348" s="378"/>
      <c r="X348" s="378"/>
      <c r="Y348" s="378"/>
      <c r="Z348" s="378"/>
    </row>
    <row r="349" spans="2:26" ht="20.100000000000001" customHeight="1"/>
    <row r="350" spans="2:26" ht="10.15" customHeight="1"/>
    <row r="351" spans="2:26" ht="20.100000000000001" customHeight="1"/>
    <row r="352" spans="2:26" ht="20.100000000000001" customHeight="1"/>
    <row r="353" spans="2:26" ht="20.100000000000001" customHeight="1"/>
    <row r="354" spans="2:26" s="359" customFormat="1" ht="20.100000000000001" customHeight="1">
      <c r="B354" s="378"/>
      <c r="C354" s="378"/>
      <c r="D354" s="378"/>
      <c r="E354" s="378"/>
      <c r="F354" s="378"/>
      <c r="G354" s="378"/>
      <c r="H354" s="378"/>
      <c r="I354" s="378"/>
      <c r="J354" s="378"/>
      <c r="K354" s="378"/>
      <c r="L354" s="378"/>
      <c r="M354" s="378"/>
      <c r="N354" s="378"/>
      <c r="O354" s="378"/>
      <c r="P354" s="378"/>
      <c r="Q354" s="378"/>
      <c r="R354" s="378"/>
      <c r="S354" s="378"/>
      <c r="T354" s="378"/>
      <c r="U354" s="378"/>
      <c r="V354" s="378"/>
      <c r="W354" s="378"/>
      <c r="X354" s="378"/>
      <c r="Y354" s="378"/>
      <c r="Z354" s="378"/>
    </row>
    <row r="355" spans="2:26" s="359" customFormat="1" ht="20.100000000000001" customHeight="1">
      <c r="B355" s="378"/>
      <c r="C355" s="378"/>
      <c r="D355" s="378"/>
      <c r="E355" s="378"/>
      <c r="F355" s="378"/>
      <c r="G355" s="378"/>
      <c r="H355" s="378"/>
      <c r="I355" s="378"/>
      <c r="J355" s="378"/>
      <c r="K355" s="378"/>
      <c r="L355" s="378"/>
      <c r="M355" s="378"/>
      <c r="N355" s="378"/>
      <c r="O355" s="378"/>
      <c r="P355" s="378"/>
      <c r="Q355" s="378"/>
      <c r="R355" s="378"/>
      <c r="S355" s="378"/>
      <c r="T355" s="378"/>
      <c r="U355" s="378"/>
      <c r="V355" s="378"/>
      <c r="W355" s="378"/>
      <c r="X355" s="378"/>
      <c r="Y355" s="378"/>
      <c r="Z355" s="378"/>
    </row>
    <row r="356" spans="2:26" s="359" customFormat="1" ht="20.100000000000001" customHeight="1">
      <c r="B356" s="378"/>
      <c r="C356" s="378"/>
      <c r="D356" s="378"/>
      <c r="E356" s="378"/>
      <c r="F356" s="378"/>
      <c r="G356" s="378"/>
      <c r="H356" s="378"/>
      <c r="I356" s="378"/>
      <c r="J356" s="378"/>
      <c r="K356" s="378"/>
      <c r="L356" s="378"/>
      <c r="M356" s="378"/>
      <c r="N356" s="378"/>
      <c r="O356" s="378"/>
      <c r="P356" s="378"/>
      <c r="Q356" s="378"/>
      <c r="R356" s="378"/>
      <c r="S356" s="378"/>
      <c r="T356" s="378"/>
      <c r="U356" s="378"/>
      <c r="V356" s="378"/>
      <c r="W356" s="378"/>
      <c r="X356" s="378"/>
      <c r="Y356" s="378"/>
      <c r="Z356" s="378"/>
    </row>
    <row r="357" spans="2:26" s="359" customFormat="1" ht="20.100000000000001" customHeight="1">
      <c r="B357" s="378"/>
      <c r="C357" s="378"/>
      <c r="D357" s="378"/>
      <c r="E357" s="378"/>
      <c r="F357" s="378"/>
      <c r="G357" s="378"/>
      <c r="H357" s="378"/>
      <c r="I357" s="378"/>
      <c r="J357" s="378"/>
      <c r="K357" s="378"/>
      <c r="L357" s="378"/>
      <c r="M357" s="378"/>
      <c r="N357" s="378"/>
      <c r="O357" s="378"/>
      <c r="P357" s="378"/>
      <c r="Q357" s="378"/>
      <c r="R357" s="378"/>
      <c r="S357" s="378"/>
      <c r="T357" s="378"/>
      <c r="U357" s="378"/>
      <c r="V357" s="378"/>
      <c r="W357" s="378"/>
      <c r="X357" s="378"/>
      <c r="Y357" s="378"/>
      <c r="Z357" s="378"/>
    </row>
    <row r="358" spans="2:26" s="359" customFormat="1" ht="20.100000000000001" customHeight="1">
      <c r="B358" s="378"/>
      <c r="C358" s="378"/>
      <c r="D358" s="378"/>
      <c r="E358" s="378"/>
      <c r="F358" s="378"/>
      <c r="G358" s="378"/>
      <c r="H358" s="378"/>
      <c r="I358" s="378"/>
      <c r="J358" s="378"/>
      <c r="K358" s="378"/>
      <c r="L358" s="378"/>
      <c r="M358" s="378"/>
      <c r="N358" s="378"/>
      <c r="O358" s="378"/>
      <c r="P358" s="378"/>
      <c r="Q358" s="378"/>
      <c r="R358" s="378"/>
      <c r="S358" s="378"/>
      <c r="T358" s="378"/>
      <c r="U358" s="378"/>
      <c r="V358" s="378"/>
      <c r="W358" s="378"/>
      <c r="X358" s="378"/>
      <c r="Y358" s="378"/>
      <c r="Z358" s="378"/>
    </row>
    <row r="359" spans="2:26" s="359" customFormat="1" ht="20.100000000000001" customHeight="1">
      <c r="B359" s="378"/>
      <c r="C359" s="378"/>
      <c r="D359" s="378"/>
      <c r="E359" s="378"/>
      <c r="F359" s="378"/>
      <c r="G359" s="378"/>
      <c r="H359" s="378"/>
      <c r="I359" s="378"/>
      <c r="J359" s="378"/>
      <c r="K359" s="378"/>
      <c r="L359" s="378"/>
      <c r="M359" s="378"/>
      <c r="N359" s="378"/>
      <c r="O359" s="378"/>
      <c r="P359" s="378"/>
      <c r="Q359" s="378"/>
      <c r="R359" s="378"/>
      <c r="S359" s="378"/>
      <c r="T359" s="378"/>
      <c r="U359" s="378"/>
      <c r="V359" s="378"/>
      <c r="W359" s="378"/>
      <c r="X359" s="378"/>
      <c r="Y359" s="378"/>
      <c r="Z359" s="378"/>
    </row>
    <row r="360" spans="2:26" s="359" customFormat="1" ht="20.100000000000001" customHeight="1">
      <c r="B360" s="378"/>
      <c r="C360" s="378"/>
      <c r="D360" s="378"/>
      <c r="E360" s="378"/>
      <c r="F360" s="378"/>
      <c r="G360" s="378"/>
      <c r="H360" s="378"/>
      <c r="I360" s="378"/>
      <c r="J360" s="378"/>
      <c r="K360" s="378"/>
      <c r="L360" s="378"/>
      <c r="M360" s="378"/>
      <c r="N360" s="378"/>
      <c r="O360" s="378"/>
      <c r="P360" s="378"/>
      <c r="Q360" s="378"/>
      <c r="R360" s="378"/>
      <c r="S360" s="378"/>
      <c r="T360" s="378"/>
      <c r="U360" s="378"/>
      <c r="V360" s="378"/>
      <c r="W360" s="378"/>
      <c r="X360" s="378"/>
      <c r="Y360" s="378"/>
      <c r="Z360" s="378"/>
    </row>
    <row r="361" spans="2:26" s="359" customFormat="1" ht="20.100000000000001" customHeight="1">
      <c r="B361" s="378"/>
      <c r="C361" s="378"/>
      <c r="D361" s="378"/>
      <c r="E361" s="378"/>
      <c r="F361" s="378"/>
      <c r="G361" s="378"/>
      <c r="H361" s="378"/>
      <c r="I361" s="378"/>
      <c r="J361" s="378"/>
      <c r="K361" s="378"/>
      <c r="L361" s="378"/>
      <c r="M361" s="378"/>
      <c r="N361" s="378"/>
      <c r="O361" s="378"/>
      <c r="P361" s="378"/>
      <c r="Q361" s="378"/>
      <c r="R361" s="378"/>
      <c r="S361" s="378"/>
      <c r="T361" s="378"/>
      <c r="U361" s="378"/>
      <c r="V361" s="378"/>
      <c r="W361" s="378"/>
      <c r="X361" s="378"/>
      <c r="Y361" s="378"/>
      <c r="Z361" s="378"/>
    </row>
    <row r="362" spans="2:26" s="359" customFormat="1" ht="20.100000000000001" customHeight="1">
      <c r="B362" s="378"/>
      <c r="C362" s="378"/>
      <c r="D362" s="378"/>
      <c r="E362" s="378"/>
      <c r="F362" s="378"/>
      <c r="G362" s="378"/>
      <c r="H362" s="378"/>
      <c r="I362" s="378"/>
      <c r="J362" s="378"/>
      <c r="K362" s="378"/>
      <c r="L362" s="378"/>
      <c r="M362" s="378"/>
      <c r="N362" s="378"/>
      <c r="O362" s="378"/>
      <c r="P362" s="378"/>
      <c r="Q362" s="378"/>
      <c r="R362" s="378"/>
      <c r="S362" s="378"/>
      <c r="T362" s="378"/>
      <c r="U362" s="378"/>
      <c r="V362" s="378"/>
      <c r="W362" s="378"/>
      <c r="X362" s="378"/>
      <c r="Y362" s="378"/>
      <c r="Z362" s="378"/>
    </row>
    <row r="363" spans="2:26" s="359" customFormat="1" ht="20.100000000000001" customHeight="1">
      <c r="B363" s="378"/>
      <c r="C363" s="378"/>
      <c r="D363" s="378"/>
      <c r="E363" s="378"/>
      <c r="F363" s="378"/>
      <c r="G363" s="378"/>
      <c r="H363" s="378"/>
      <c r="I363" s="378"/>
      <c r="J363" s="378"/>
      <c r="K363" s="378"/>
      <c r="L363" s="378"/>
      <c r="M363" s="378"/>
      <c r="N363" s="378"/>
      <c r="O363" s="378"/>
      <c r="P363" s="378"/>
      <c r="Q363" s="378"/>
      <c r="R363" s="378"/>
      <c r="S363" s="378"/>
      <c r="T363" s="378"/>
      <c r="U363" s="378"/>
      <c r="V363" s="378"/>
      <c r="W363" s="378"/>
      <c r="X363" s="378"/>
      <c r="Y363" s="378"/>
      <c r="Z363" s="378"/>
    </row>
    <row r="364" spans="2:26" s="359" customFormat="1" ht="20.100000000000001" customHeight="1">
      <c r="B364" s="378"/>
      <c r="C364" s="378"/>
      <c r="D364" s="378"/>
      <c r="E364" s="378"/>
      <c r="F364" s="378"/>
      <c r="G364" s="378"/>
      <c r="H364" s="378"/>
      <c r="I364" s="378"/>
      <c r="J364" s="378"/>
      <c r="K364" s="378"/>
      <c r="L364" s="378"/>
      <c r="M364" s="378"/>
      <c r="N364" s="378"/>
      <c r="O364" s="378"/>
      <c r="P364" s="378"/>
      <c r="Q364" s="378"/>
      <c r="R364" s="378"/>
      <c r="S364" s="378"/>
      <c r="T364" s="378"/>
      <c r="U364" s="378"/>
      <c r="V364" s="378"/>
      <c r="W364" s="378"/>
      <c r="X364" s="378"/>
      <c r="Y364" s="378"/>
      <c r="Z364" s="378"/>
    </row>
    <row r="365" spans="2:26" s="359" customFormat="1" ht="20.100000000000001" customHeight="1">
      <c r="B365" s="378"/>
      <c r="C365" s="378"/>
      <c r="D365" s="378"/>
      <c r="E365" s="378"/>
      <c r="F365" s="378"/>
      <c r="G365" s="378"/>
      <c r="H365" s="378"/>
      <c r="I365" s="378"/>
      <c r="J365" s="378"/>
      <c r="K365" s="378"/>
      <c r="L365" s="378"/>
      <c r="M365" s="378"/>
      <c r="N365" s="378"/>
      <c r="O365" s="378"/>
      <c r="P365" s="378"/>
      <c r="Q365" s="378"/>
      <c r="R365" s="378"/>
      <c r="S365" s="378"/>
      <c r="T365" s="378"/>
      <c r="U365" s="378"/>
      <c r="V365" s="378"/>
      <c r="W365" s="378"/>
      <c r="X365" s="378"/>
      <c r="Y365" s="378"/>
      <c r="Z365" s="378"/>
    </row>
    <row r="366" spans="2:26" s="359" customFormat="1" ht="20.100000000000001" customHeight="1">
      <c r="B366" s="378"/>
      <c r="C366" s="378"/>
      <c r="D366" s="378"/>
      <c r="E366" s="378"/>
      <c r="F366" s="378"/>
      <c r="G366" s="378"/>
      <c r="H366" s="378"/>
      <c r="I366" s="378"/>
      <c r="J366" s="378"/>
      <c r="K366" s="378"/>
      <c r="L366" s="378"/>
      <c r="M366" s="378"/>
      <c r="N366" s="378"/>
      <c r="O366" s="378"/>
      <c r="P366" s="378"/>
      <c r="Q366" s="378"/>
      <c r="R366" s="378"/>
      <c r="S366" s="378"/>
      <c r="T366" s="378"/>
      <c r="U366" s="378"/>
      <c r="V366" s="378"/>
      <c r="W366" s="378"/>
      <c r="X366" s="378"/>
      <c r="Y366" s="378"/>
      <c r="Z366" s="378"/>
    </row>
    <row r="367" spans="2:26" s="359" customFormat="1" ht="20.100000000000001" customHeight="1">
      <c r="B367" s="378"/>
      <c r="C367" s="378"/>
      <c r="D367" s="378"/>
      <c r="E367" s="378"/>
      <c r="F367" s="378"/>
      <c r="G367" s="378"/>
      <c r="H367" s="378"/>
      <c r="I367" s="378"/>
      <c r="J367" s="378"/>
      <c r="K367" s="378"/>
      <c r="L367" s="378"/>
      <c r="M367" s="378"/>
      <c r="N367" s="378"/>
      <c r="O367" s="378"/>
      <c r="P367" s="378"/>
      <c r="Q367" s="378"/>
      <c r="R367" s="378"/>
      <c r="S367" s="378"/>
      <c r="T367" s="378"/>
      <c r="U367" s="378"/>
      <c r="V367" s="378"/>
      <c r="W367" s="378"/>
      <c r="X367" s="378"/>
      <c r="Y367" s="378"/>
      <c r="Z367" s="378"/>
    </row>
    <row r="368" spans="2:26" s="359" customFormat="1" ht="20.100000000000001" customHeight="1">
      <c r="B368" s="378"/>
      <c r="C368" s="378"/>
      <c r="D368" s="378"/>
      <c r="E368" s="378"/>
      <c r="F368" s="378"/>
      <c r="G368" s="378"/>
      <c r="H368" s="378"/>
      <c r="I368" s="378"/>
      <c r="J368" s="378"/>
      <c r="K368" s="378"/>
      <c r="L368" s="378"/>
      <c r="M368" s="378"/>
      <c r="N368" s="378"/>
      <c r="O368" s="378"/>
      <c r="P368" s="378"/>
      <c r="Q368" s="378"/>
      <c r="R368" s="378"/>
      <c r="S368" s="378"/>
      <c r="T368" s="378"/>
      <c r="U368" s="378"/>
      <c r="V368" s="378"/>
      <c r="W368" s="378"/>
      <c r="X368" s="378"/>
      <c r="Y368" s="378"/>
      <c r="Z368" s="378"/>
    </row>
    <row r="369" spans="2:26" s="359" customFormat="1" ht="20.100000000000001" customHeight="1">
      <c r="B369" s="378"/>
      <c r="C369" s="378"/>
      <c r="D369" s="378"/>
      <c r="E369" s="378"/>
      <c r="F369" s="378"/>
      <c r="G369" s="378"/>
      <c r="H369" s="378"/>
      <c r="I369" s="378"/>
      <c r="J369" s="378"/>
      <c r="K369" s="378"/>
      <c r="L369" s="378"/>
      <c r="M369" s="378"/>
      <c r="N369" s="378"/>
      <c r="O369" s="378"/>
      <c r="P369" s="378"/>
      <c r="Q369" s="378"/>
      <c r="R369" s="378"/>
      <c r="S369" s="378"/>
      <c r="T369" s="378"/>
      <c r="U369" s="378"/>
      <c r="V369" s="378"/>
      <c r="W369" s="378"/>
      <c r="X369" s="378"/>
      <c r="Y369" s="378"/>
      <c r="Z369" s="378"/>
    </row>
    <row r="370" spans="2:26" s="359" customFormat="1" ht="20.100000000000001" customHeight="1">
      <c r="B370" s="378"/>
      <c r="C370" s="378"/>
      <c r="D370" s="378"/>
      <c r="E370" s="378"/>
      <c r="F370" s="378"/>
      <c r="G370" s="378"/>
      <c r="H370" s="378"/>
      <c r="I370" s="378"/>
      <c r="J370" s="378"/>
      <c r="K370" s="378"/>
      <c r="L370" s="378"/>
      <c r="M370" s="378"/>
      <c r="N370" s="378"/>
      <c r="O370" s="378"/>
      <c r="P370" s="378"/>
      <c r="Q370" s="378"/>
      <c r="R370" s="378"/>
      <c r="S370" s="378"/>
      <c r="T370" s="378"/>
      <c r="U370" s="378"/>
      <c r="V370" s="378"/>
      <c r="W370" s="378"/>
      <c r="X370" s="378"/>
      <c r="Y370" s="378"/>
      <c r="Z370" s="378"/>
    </row>
    <row r="371" spans="2:26" s="359" customFormat="1" ht="20.100000000000001" customHeight="1">
      <c r="B371" s="378"/>
      <c r="C371" s="378"/>
      <c r="D371" s="378"/>
      <c r="E371" s="378"/>
      <c r="F371" s="378"/>
      <c r="G371" s="378"/>
      <c r="H371" s="378"/>
      <c r="I371" s="378"/>
      <c r="J371" s="378"/>
      <c r="K371" s="378"/>
      <c r="L371" s="378"/>
      <c r="M371" s="378"/>
      <c r="N371" s="378"/>
      <c r="O371" s="378"/>
      <c r="P371" s="378"/>
      <c r="Q371" s="378"/>
      <c r="R371" s="378"/>
      <c r="S371" s="378"/>
      <c r="T371" s="378"/>
      <c r="U371" s="378"/>
      <c r="V371" s="378"/>
      <c r="W371" s="378"/>
      <c r="X371" s="378"/>
      <c r="Y371" s="378"/>
      <c r="Z371" s="378"/>
    </row>
    <row r="372" spans="2:26" s="359" customFormat="1" ht="20.100000000000001" customHeight="1">
      <c r="B372" s="378"/>
      <c r="C372" s="378"/>
      <c r="D372" s="378"/>
      <c r="E372" s="378"/>
      <c r="F372" s="378"/>
      <c r="G372" s="378"/>
      <c r="H372" s="378"/>
      <c r="I372" s="378"/>
      <c r="J372" s="378"/>
      <c r="K372" s="378"/>
      <c r="L372" s="378"/>
      <c r="M372" s="378"/>
      <c r="N372" s="378"/>
      <c r="O372" s="378"/>
      <c r="P372" s="378"/>
      <c r="Q372" s="378"/>
      <c r="R372" s="378"/>
      <c r="S372" s="378"/>
      <c r="T372" s="378"/>
      <c r="U372" s="378"/>
      <c r="V372" s="378"/>
      <c r="W372" s="378"/>
      <c r="X372" s="378"/>
      <c r="Y372" s="378"/>
      <c r="Z372" s="378"/>
    </row>
    <row r="373" spans="2:26" s="359" customFormat="1" ht="20.100000000000001" customHeight="1">
      <c r="B373" s="378"/>
      <c r="C373" s="378"/>
      <c r="D373" s="378"/>
      <c r="E373" s="378"/>
      <c r="F373" s="378"/>
      <c r="G373" s="378"/>
      <c r="H373" s="378"/>
      <c r="I373" s="378"/>
      <c r="J373" s="378"/>
      <c r="K373" s="378"/>
      <c r="L373" s="378"/>
      <c r="M373" s="378"/>
      <c r="N373" s="378"/>
      <c r="O373" s="378"/>
      <c r="P373" s="378"/>
      <c r="Q373" s="378"/>
      <c r="R373" s="378"/>
      <c r="S373" s="378"/>
      <c r="T373" s="378"/>
      <c r="U373" s="378"/>
      <c r="V373" s="378"/>
      <c r="W373" s="378"/>
      <c r="X373" s="378"/>
      <c r="Y373" s="378"/>
      <c r="Z373" s="378"/>
    </row>
    <row r="374" spans="2:26" s="359" customFormat="1" ht="20.100000000000001" customHeight="1">
      <c r="B374" s="378"/>
      <c r="C374" s="378"/>
      <c r="D374" s="378"/>
      <c r="E374" s="378"/>
      <c r="F374" s="378"/>
      <c r="G374" s="378"/>
      <c r="H374" s="378"/>
      <c r="I374" s="378"/>
      <c r="J374" s="378"/>
      <c r="K374" s="378"/>
      <c r="L374" s="378"/>
      <c r="M374" s="378"/>
      <c r="N374" s="378"/>
      <c r="O374" s="378"/>
      <c r="P374" s="378"/>
      <c r="Q374" s="378"/>
      <c r="R374" s="378"/>
      <c r="S374" s="378"/>
      <c r="T374" s="378"/>
      <c r="U374" s="378"/>
      <c r="V374" s="378"/>
      <c r="W374" s="378"/>
      <c r="X374" s="378"/>
      <c r="Y374" s="378"/>
      <c r="Z374" s="378"/>
    </row>
    <row r="375" spans="2:26" s="359" customFormat="1" ht="20.100000000000001" customHeight="1">
      <c r="B375" s="378"/>
      <c r="C375" s="378"/>
      <c r="D375" s="378"/>
      <c r="E375" s="378"/>
      <c r="F375" s="378"/>
      <c r="G375" s="378"/>
      <c r="H375" s="378"/>
      <c r="I375" s="378"/>
      <c r="J375" s="378"/>
      <c r="K375" s="378"/>
      <c r="L375" s="378"/>
      <c r="M375" s="378"/>
      <c r="N375" s="378"/>
      <c r="O375" s="378"/>
      <c r="P375" s="378"/>
      <c r="Q375" s="378"/>
      <c r="R375" s="378"/>
      <c r="S375" s="378"/>
      <c r="T375" s="378"/>
      <c r="U375" s="378"/>
      <c r="V375" s="378"/>
      <c r="W375" s="378"/>
      <c r="X375" s="378"/>
      <c r="Y375" s="378"/>
      <c r="Z375" s="378"/>
    </row>
    <row r="376" spans="2:26" s="359" customFormat="1" ht="20.100000000000001" customHeight="1">
      <c r="B376" s="378"/>
      <c r="C376" s="378"/>
      <c r="D376" s="378"/>
      <c r="E376" s="378"/>
      <c r="F376" s="378"/>
      <c r="G376" s="378"/>
      <c r="H376" s="378"/>
      <c r="I376" s="378"/>
      <c r="J376" s="378"/>
      <c r="K376" s="378"/>
      <c r="L376" s="378"/>
      <c r="M376" s="378"/>
      <c r="N376" s="378"/>
      <c r="O376" s="378"/>
      <c r="P376" s="378"/>
      <c r="Q376" s="378"/>
      <c r="R376" s="378"/>
      <c r="S376" s="378"/>
      <c r="T376" s="378"/>
      <c r="U376" s="378"/>
      <c r="V376" s="378"/>
      <c r="W376" s="378"/>
      <c r="X376" s="378"/>
      <c r="Y376" s="378"/>
      <c r="Z376" s="378"/>
    </row>
    <row r="377" spans="2:26" s="359" customFormat="1" ht="20.100000000000001" customHeight="1">
      <c r="B377" s="378"/>
      <c r="C377" s="378"/>
      <c r="D377" s="378"/>
      <c r="E377" s="378"/>
      <c r="F377" s="378"/>
      <c r="G377" s="378"/>
      <c r="H377" s="378"/>
      <c r="I377" s="378"/>
      <c r="J377" s="378"/>
      <c r="K377" s="378"/>
      <c r="L377" s="378"/>
      <c r="M377" s="378"/>
      <c r="N377" s="378"/>
      <c r="O377" s="378"/>
      <c r="P377" s="378"/>
      <c r="Q377" s="378"/>
      <c r="R377" s="378"/>
      <c r="S377" s="378"/>
      <c r="T377" s="378"/>
      <c r="U377" s="378"/>
      <c r="V377" s="378"/>
      <c r="W377" s="378"/>
      <c r="X377" s="378"/>
      <c r="Y377" s="378"/>
      <c r="Z377" s="378"/>
    </row>
    <row r="378" spans="2:26" s="359" customFormat="1" ht="20.100000000000001" customHeight="1">
      <c r="B378" s="378"/>
      <c r="C378" s="378"/>
      <c r="D378" s="378"/>
      <c r="E378" s="378"/>
      <c r="F378" s="378"/>
      <c r="G378" s="378"/>
      <c r="H378" s="378"/>
      <c r="I378" s="378"/>
      <c r="J378" s="378"/>
      <c r="K378" s="378"/>
      <c r="L378" s="378"/>
      <c r="M378" s="378"/>
      <c r="N378" s="378"/>
      <c r="O378" s="378"/>
      <c r="P378" s="378"/>
      <c r="Q378" s="378"/>
      <c r="R378" s="378"/>
      <c r="S378" s="378"/>
      <c r="T378" s="378"/>
      <c r="U378" s="378"/>
      <c r="V378" s="378"/>
      <c r="W378" s="378"/>
      <c r="X378" s="378"/>
      <c r="Y378" s="378"/>
      <c r="Z378" s="378"/>
    </row>
    <row r="379" spans="2:26" s="359" customFormat="1" ht="20.100000000000001" customHeight="1">
      <c r="B379" s="378"/>
      <c r="C379" s="378"/>
      <c r="D379" s="378"/>
      <c r="E379" s="378"/>
      <c r="F379" s="378"/>
      <c r="G379" s="378"/>
      <c r="H379" s="378"/>
      <c r="I379" s="378"/>
      <c r="J379" s="378"/>
      <c r="K379" s="378"/>
      <c r="L379" s="378"/>
      <c r="M379" s="378"/>
      <c r="N379" s="378"/>
      <c r="O379" s="378"/>
      <c r="P379" s="378"/>
      <c r="Q379" s="378"/>
      <c r="R379" s="378"/>
      <c r="S379" s="378"/>
      <c r="T379" s="378"/>
      <c r="U379" s="378"/>
      <c r="V379" s="378"/>
      <c r="W379" s="378"/>
      <c r="X379" s="378"/>
      <c r="Y379" s="378"/>
      <c r="Z379" s="378"/>
    </row>
    <row r="380" spans="2:26" s="359" customFormat="1" ht="20.100000000000001" customHeight="1">
      <c r="B380" s="378"/>
      <c r="C380" s="378"/>
      <c r="D380" s="378"/>
      <c r="E380" s="378"/>
      <c r="F380" s="378"/>
      <c r="G380" s="378"/>
      <c r="H380" s="378"/>
      <c r="I380" s="378"/>
      <c r="J380" s="378"/>
      <c r="K380" s="378"/>
      <c r="L380" s="378"/>
      <c r="M380" s="378"/>
      <c r="N380" s="378"/>
      <c r="O380" s="378"/>
      <c r="P380" s="378"/>
      <c r="Q380" s="378"/>
      <c r="R380" s="378"/>
      <c r="S380" s="378"/>
      <c r="T380" s="378"/>
      <c r="U380" s="378"/>
      <c r="V380" s="378"/>
      <c r="W380" s="378"/>
      <c r="X380" s="378"/>
      <c r="Y380" s="378"/>
      <c r="Z380" s="378"/>
    </row>
    <row r="381" spans="2:26" s="359" customFormat="1" ht="20.100000000000001" customHeight="1">
      <c r="B381" s="378"/>
      <c r="C381" s="378"/>
      <c r="D381" s="378"/>
      <c r="E381" s="378"/>
      <c r="F381" s="378"/>
      <c r="G381" s="378"/>
      <c r="H381" s="378"/>
      <c r="I381" s="378"/>
      <c r="J381" s="378"/>
      <c r="K381" s="378"/>
      <c r="L381" s="378"/>
      <c r="M381" s="378"/>
      <c r="N381" s="378"/>
      <c r="O381" s="378"/>
      <c r="P381" s="378"/>
      <c r="Q381" s="378"/>
      <c r="R381" s="378"/>
      <c r="S381" s="378"/>
      <c r="T381" s="378"/>
      <c r="U381" s="378"/>
      <c r="V381" s="378"/>
      <c r="W381" s="378"/>
      <c r="X381" s="378"/>
      <c r="Y381" s="378"/>
      <c r="Z381" s="378"/>
    </row>
    <row r="382" spans="2:26" s="359" customFormat="1" ht="20.100000000000001" customHeight="1">
      <c r="B382" s="378"/>
      <c r="C382" s="378"/>
      <c r="D382" s="378"/>
      <c r="E382" s="378"/>
      <c r="F382" s="378"/>
      <c r="G382" s="378"/>
      <c r="H382" s="378"/>
      <c r="I382" s="378"/>
      <c r="J382" s="378"/>
      <c r="K382" s="378"/>
      <c r="L382" s="378"/>
      <c r="M382" s="378"/>
      <c r="N382" s="378"/>
      <c r="O382" s="378"/>
      <c r="P382" s="378"/>
      <c r="Q382" s="378"/>
      <c r="R382" s="378"/>
      <c r="S382" s="378"/>
      <c r="T382" s="378"/>
      <c r="U382" s="378"/>
      <c r="V382" s="378"/>
      <c r="W382" s="378"/>
      <c r="X382" s="378"/>
      <c r="Y382" s="378"/>
      <c r="Z382" s="378"/>
    </row>
    <row r="383" spans="2:26" s="359" customFormat="1" ht="20.100000000000001" customHeight="1">
      <c r="B383" s="378"/>
      <c r="C383" s="378"/>
      <c r="D383" s="378"/>
      <c r="E383" s="378"/>
      <c r="F383" s="378"/>
      <c r="G383" s="378"/>
      <c r="H383" s="378"/>
      <c r="I383" s="378"/>
      <c r="J383" s="378"/>
      <c r="K383" s="378"/>
      <c r="L383" s="378"/>
      <c r="M383" s="378"/>
      <c r="N383" s="378"/>
      <c r="O383" s="378"/>
      <c r="P383" s="378"/>
      <c r="Q383" s="378"/>
      <c r="R383" s="378"/>
      <c r="S383" s="378"/>
      <c r="T383" s="378"/>
      <c r="U383" s="378"/>
      <c r="V383" s="378"/>
      <c r="W383" s="378"/>
      <c r="X383" s="378"/>
      <c r="Y383" s="378"/>
      <c r="Z383" s="378"/>
    </row>
    <row r="384" spans="2:26" s="359" customFormat="1" ht="20.100000000000001" customHeight="1">
      <c r="B384" s="378"/>
      <c r="C384" s="378"/>
      <c r="D384" s="378"/>
      <c r="E384" s="378"/>
      <c r="F384" s="378"/>
      <c r="G384" s="378"/>
      <c r="H384" s="378"/>
      <c r="I384" s="378"/>
      <c r="J384" s="378"/>
      <c r="K384" s="378"/>
      <c r="L384" s="378"/>
      <c r="M384" s="378"/>
      <c r="N384" s="378"/>
      <c r="O384" s="378"/>
      <c r="P384" s="378"/>
      <c r="Q384" s="378"/>
      <c r="R384" s="378"/>
      <c r="S384" s="378"/>
      <c r="T384" s="378"/>
      <c r="U384" s="378"/>
      <c r="V384" s="378"/>
      <c r="W384" s="378"/>
      <c r="X384" s="378"/>
      <c r="Y384" s="378"/>
      <c r="Z384" s="378"/>
    </row>
    <row r="385" spans="2:26" s="359" customFormat="1" ht="20.100000000000001" customHeight="1">
      <c r="B385" s="378"/>
      <c r="C385" s="378"/>
      <c r="D385" s="378"/>
      <c r="E385" s="378"/>
      <c r="F385" s="378"/>
      <c r="G385" s="378"/>
      <c r="H385" s="378"/>
      <c r="I385" s="378"/>
      <c r="J385" s="378"/>
      <c r="K385" s="378"/>
      <c r="L385" s="378"/>
      <c r="M385" s="378"/>
      <c r="N385" s="378"/>
      <c r="O385" s="378"/>
      <c r="P385" s="378"/>
      <c r="Q385" s="378"/>
      <c r="R385" s="378"/>
      <c r="S385" s="378"/>
      <c r="T385" s="378"/>
      <c r="U385" s="378"/>
      <c r="V385" s="378"/>
      <c r="W385" s="378"/>
      <c r="X385" s="378"/>
      <c r="Y385" s="378"/>
      <c r="Z385" s="378"/>
    </row>
    <row r="386" spans="2:26" s="359" customFormat="1" ht="20.100000000000001" customHeight="1">
      <c r="B386" s="378"/>
      <c r="C386" s="378"/>
      <c r="D386" s="378"/>
      <c r="E386" s="378"/>
      <c r="F386" s="378"/>
      <c r="G386" s="378"/>
      <c r="H386" s="378"/>
      <c r="I386" s="378"/>
      <c r="J386" s="378"/>
      <c r="K386" s="378"/>
      <c r="L386" s="378"/>
      <c r="M386" s="378"/>
      <c r="N386" s="378"/>
      <c r="O386" s="378"/>
      <c r="P386" s="378"/>
      <c r="Q386" s="378"/>
      <c r="R386" s="378"/>
      <c r="S386" s="378"/>
      <c r="T386" s="378"/>
      <c r="U386" s="378"/>
      <c r="V386" s="378"/>
      <c r="W386" s="378"/>
      <c r="X386" s="378"/>
      <c r="Y386" s="378"/>
      <c r="Z386" s="378"/>
    </row>
    <row r="387" spans="2:26" s="359" customFormat="1" ht="20.100000000000001" customHeight="1">
      <c r="B387" s="378"/>
      <c r="C387" s="378"/>
      <c r="D387" s="378"/>
      <c r="E387" s="378"/>
      <c r="F387" s="378"/>
      <c r="G387" s="378"/>
      <c r="H387" s="378"/>
      <c r="I387" s="378"/>
      <c r="J387" s="378"/>
      <c r="K387" s="378"/>
      <c r="L387" s="378"/>
      <c r="M387" s="378"/>
      <c r="N387" s="378"/>
      <c r="O387" s="378"/>
      <c r="P387" s="378"/>
      <c r="Q387" s="378"/>
      <c r="R387" s="378"/>
      <c r="S387" s="378"/>
      <c r="T387" s="378"/>
      <c r="U387" s="378"/>
      <c r="V387" s="378"/>
      <c r="W387" s="378"/>
      <c r="X387" s="378"/>
      <c r="Y387" s="378"/>
      <c r="Z387" s="378"/>
    </row>
    <row r="388" spans="2:26" s="359" customFormat="1" ht="20.100000000000001" customHeight="1">
      <c r="B388" s="378"/>
      <c r="C388" s="378"/>
      <c r="D388" s="378"/>
      <c r="E388" s="378"/>
      <c r="F388" s="378"/>
      <c r="G388" s="378"/>
      <c r="H388" s="378"/>
      <c r="I388" s="378"/>
      <c r="J388" s="378"/>
      <c r="K388" s="378"/>
      <c r="L388" s="378"/>
      <c r="M388" s="378"/>
      <c r="N388" s="378"/>
      <c r="O388" s="378"/>
      <c r="P388" s="378"/>
      <c r="Q388" s="378"/>
      <c r="R388" s="378"/>
      <c r="S388" s="378"/>
      <c r="T388" s="378"/>
      <c r="U388" s="378"/>
      <c r="V388" s="378"/>
      <c r="W388" s="378"/>
      <c r="X388" s="378"/>
      <c r="Y388" s="378"/>
      <c r="Z388" s="378"/>
    </row>
    <row r="389" spans="2:26" s="359" customFormat="1" ht="20.100000000000001" customHeight="1">
      <c r="B389" s="378"/>
      <c r="C389" s="378"/>
      <c r="D389" s="378"/>
      <c r="E389" s="378"/>
      <c r="F389" s="378"/>
      <c r="G389" s="378"/>
      <c r="H389" s="378"/>
      <c r="I389" s="378"/>
      <c r="J389" s="378"/>
      <c r="K389" s="378"/>
      <c r="L389" s="378"/>
      <c r="M389" s="378"/>
      <c r="N389" s="378"/>
      <c r="O389" s="378"/>
      <c r="P389" s="378"/>
      <c r="Q389" s="378"/>
      <c r="R389" s="378"/>
      <c r="S389" s="378"/>
      <c r="T389" s="378"/>
      <c r="U389" s="378"/>
      <c r="V389" s="378"/>
      <c r="W389" s="378"/>
      <c r="X389" s="378"/>
      <c r="Y389" s="378"/>
      <c r="Z389" s="378"/>
    </row>
    <row r="390" spans="2:26" s="359" customFormat="1" ht="20.100000000000001" customHeight="1">
      <c r="B390" s="378"/>
      <c r="C390" s="378"/>
      <c r="D390" s="378"/>
      <c r="E390" s="378"/>
      <c r="F390" s="378"/>
      <c r="G390" s="378"/>
      <c r="H390" s="378"/>
      <c r="I390" s="378"/>
      <c r="J390" s="378"/>
      <c r="K390" s="378"/>
      <c r="L390" s="378"/>
      <c r="M390" s="378"/>
      <c r="N390" s="378"/>
      <c r="O390" s="378"/>
      <c r="P390" s="378"/>
      <c r="Q390" s="378"/>
      <c r="R390" s="378"/>
      <c r="S390" s="378"/>
      <c r="T390" s="378"/>
      <c r="U390" s="378"/>
      <c r="V390" s="378"/>
      <c r="W390" s="378"/>
      <c r="X390" s="378"/>
      <c r="Y390" s="378"/>
      <c r="Z390" s="378"/>
    </row>
    <row r="391" spans="2:26" ht="20.100000000000001" customHeight="1"/>
    <row r="392" spans="2:26" ht="10.15" customHeight="1"/>
    <row r="393" spans="2:26" ht="20.100000000000001" customHeight="1"/>
    <row r="394" spans="2:26" ht="20.100000000000001" customHeight="1"/>
    <row r="395" spans="2:26" ht="20.100000000000001" customHeight="1"/>
    <row r="396" spans="2:26" s="359" customFormat="1" ht="20.100000000000001" customHeight="1">
      <c r="B396" s="378"/>
      <c r="C396" s="378"/>
      <c r="D396" s="378"/>
      <c r="E396" s="378"/>
      <c r="F396" s="378"/>
      <c r="G396" s="378"/>
      <c r="H396" s="378"/>
      <c r="I396" s="378"/>
      <c r="J396" s="378"/>
      <c r="K396" s="378"/>
      <c r="L396" s="378"/>
      <c r="M396" s="378"/>
      <c r="N396" s="378"/>
      <c r="O396" s="378"/>
      <c r="P396" s="378"/>
      <c r="Q396" s="378"/>
      <c r="R396" s="378"/>
      <c r="S396" s="378"/>
      <c r="T396" s="378"/>
      <c r="U396" s="378"/>
      <c r="V396" s="378"/>
      <c r="W396" s="378"/>
      <c r="X396" s="378"/>
      <c r="Y396" s="378"/>
      <c r="Z396" s="378"/>
    </row>
    <row r="397" spans="2:26" s="359" customFormat="1" ht="20.100000000000001" customHeight="1">
      <c r="B397" s="378"/>
      <c r="C397" s="378"/>
      <c r="D397" s="378"/>
      <c r="E397" s="378"/>
      <c r="F397" s="378"/>
      <c r="G397" s="378"/>
      <c r="H397" s="378"/>
      <c r="I397" s="378"/>
      <c r="J397" s="378"/>
      <c r="K397" s="378"/>
      <c r="L397" s="378"/>
      <c r="M397" s="378"/>
      <c r="N397" s="378"/>
      <c r="O397" s="378"/>
      <c r="P397" s="378"/>
      <c r="Q397" s="378"/>
      <c r="R397" s="378"/>
      <c r="S397" s="378"/>
      <c r="T397" s="378"/>
      <c r="U397" s="378"/>
      <c r="V397" s="378"/>
      <c r="W397" s="378"/>
      <c r="X397" s="378"/>
      <c r="Y397" s="378"/>
      <c r="Z397" s="378"/>
    </row>
    <row r="398" spans="2:26" s="359" customFormat="1" ht="20.100000000000001" customHeight="1">
      <c r="B398" s="378"/>
      <c r="C398" s="378"/>
      <c r="D398" s="378"/>
      <c r="E398" s="378"/>
      <c r="F398" s="378"/>
      <c r="G398" s="378"/>
      <c r="H398" s="378"/>
      <c r="I398" s="378"/>
      <c r="J398" s="378"/>
      <c r="K398" s="378"/>
      <c r="L398" s="378"/>
      <c r="M398" s="378"/>
      <c r="N398" s="378"/>
      <c r="O398" s="378"/>
      <c r="P398" s="378"/>
      <c r="Q398" s="378"/>
      <c r="R398" s="378"/>
      <c r="S398" s="378"/>
      <c r="T398" s="378"/>
      <c r="U398" s="378"/>
      <c r="V398" s="378"/>
      <c r="W398" s="378"/>
      <c r="X398" s="378"/>
      <c r="Y398" s="378"/>
      <c r="Z398" s="378"/>
    </row>
    <row r="399" spans="2:26" s="359" customFormat="1" ht="20.100000000000001" customHeight="1">
      <c r="B399" s="378"/>
      <c r="C399" s="378"/>
      <c r="D399" s="378"/>
      <c r="E399" s="378"/>
      <c r="F399" s="378"/>
      <c r="G399" s="378"/>
      <c r="H399" s="378"/>
      <c r="I399" s="378"/>
      <c r="J399" s="378"/>
      <c r="K399" s="378"/>
      <c r="L399" s="378"/>
      <c r="M399" s="378"/>
      <c r="N399" s="378"/>
      <c r="O399" s="378"/>
      <c r="P399" s="378"/>
      <c r="Q399" s="378"/>
      <c r="R399" s="378"/>
      <c r="S399" s="378"/>
      <c r="T399" s="378"/>
      <c r="U399" s="378"/>
      <c r="V399" s="378"/>
      <c r="W399" s="378"/>
      <c r="X399" s="378"/>
      <c r="Y399" s="378"/>
      <c r="Z399" s="378"/>
    </row>
    <row r="400" spans="2:26" s="359" customFormat="1" ht="20.100000000000001" customHeight="1">
      <c r="B400" s="378"/>
      <c r="C400" s="378"/>
      <c r="D400" s="378"/>
      <c r="E400" s="378"/>
      <c r="F400" s="378"/>
      <c r="G400" s="378"/>
      <c r="H400" s="378"/>
      <c r="I400" s="378"/>
      <c r="J400" s="378"/>
      <c r="K400" s="378"/>
      <c r="L400" s="378"/>
      <c r="M400" s="378"/>
      <c r="N400" s="378"/>
      <c r="O400" s="378"/>
      <c r="P400" s="378"/>
      <c r="Q400" s="378"/>
      <c r="R400" s="378"/>
      <c r="S400" s="378"/>
      <c r="T400" s="378"/>
      <c r="U400" s="378"/>
      <c r="V400" s="378"/>
      <c r="W400" s="378"/>
      <c r="X400" s="378"/>
      <c r="Y400" s="378"/>
      <c r="Z400" s="378"/>
    </row>
    <row r="401" spans="2:26" s="359" customFormat="1" ht="20.100000000000001" customHeight="1">
      <c r="B401" s="378"/>
      <c r="C401" s="378"/>
      <c r="D401" s="378"/>
      <c r="E401" s="378"/>
      <c r="F401" s="378"/>
      <c r="G401" s="378"/>
      <c r="H401" s="378"/>
      <c r="I401" s="378"/>
      <c r="J401" s="378"/>
      <c r="K401" s="378"/>
      <c r="L401" s="378"/>
      <c r="M401" s="378"/>
      <c r="N401" s="378"/>
      <c r="O401" s="378"/>
      <c r="P401" s="378"/>
      <c r="Q401" s="378"/>
      <c r="R401" s="378"/>
      <c r="S401" s="378"/>
      <c r="T401" s="378"/>
      <c r="U401" s="378"/>
      <c r="V401" s="378"/>
      <c r="W401" s="378"/>
      <c r="X401" s="378"/>
      <c r="Y401" s="378"/>
      <c r="Z401" s="378"/>
    </row>
    <row r="402" spans="2:26" s="359" customFormat="1" ht="20.100000000000001" customHeight="1">
      <c r="B402" s="378"/>
      <c r="C402" s="378"/>
      <c r="D402" s="378"/>
      <c r="E402" s="378"/>
      <c r="F402" s="378"/>
      <c r="G402" s="378"/>
      <c r="H402" s="378"/>
      <c r="I402" s="378"/>
      <c r="J402" s="378"/>
      <c r="K402" s="378"/>
      <c r="L402" s="378"/>
      <c r="M402" s="378"/>
      <c r="N402" s="378"/>
      <c r="O402" s="378"/>
      <c r="P402" s="378"/>
      <c r="Q402" s="378"/>
      <c r="R402" s="378"/>
      <c r="S402" s="378"/>
      <c r="T402" s="378"/>
      <c r="U402" s="378"/>
      <c r="V402" s="378"/>
      <c r="W402" s="378"/>
      <c r="X402" s="378"/>
      <c r="Y402" s="378"/>
      <c r="Z402" s="378"/>
    </row>
    <row r="403" spans="2:26" s="359" customFormat="1" ht="20.100000000000001" customHeight="1">
      <c r="B403" s="378"/>
      <c r="C403" s="378"/>
      <c r="D403" s="378"/>
      <c r="E403" s="378"/>
      <c r="F403" s="378"/>
      <c r="G403" s="378"/>
      <c r="H403" s="378"/>
      <c r="I403" s="378"/>
      <c r="J403" s="378"/>
      <c r="K403" s="378"/>
      <c r="L403" s="378"/>
      <c r="M403" s="378"/>
      <c r="N403" s="378"/>
      <c r="O403" s="378"/>
      <c r="P403" s="378"/>
      <c r="Q403" s="378"/>
      <c r="R403" s="378"/>
      <c r="S403" s="378"/>
      <c r="T403" s="378"/>
      <c r="U403" s="378"/>
      <c r="V403" s="378"/>
      <c r="W403" s="378"/>
      <c r="X403" s="378"/>
      <c r="Y403" s="378"/>
      <c r="Z403" s="378"/>
    </row>
    <row r="404" spans="2:26" s="359" customFormat="1" ht="20.100000000000001" customHeight="1">
      <c r="B404" s="378"/>
      <c r="C404" s="378"/>
      <c r="D404" s="378"/>
      <c r="E404" s="378"/>
      <c r="F404" s="378"/>
      <c r="G404" s="378"/>
      <c r="H404" s="378"/>
      <c r="I404" s="378"/>
      <c r="J404" s="378"/>
      <c r="K404" s="378"/>
      <c r="L404" s="378"/>
      <c r="M404" s="378"/>
      <c r="N404" s="378"/>
      <c r="O404" s="378"/>
      <c r="P404" s="378"/>
      <c r="Q404" s="378"/>
      <c r="R404" s="378"/>
      <c r="S404" s="378"/>
      <c r="T404" s="378"/>
      <c r="U404" s="378"/>
      <c r="V404" s="378"/>
      <c r="W404" s="378"/>
      <c r="X404" s="378"/>
      <c r="Y404" s="378"/>
      <c r="Z404" s="378"/>
    </row>
    <row r="405" spans="2:26" s="359" customFormat="1" ht="20.100000000000001" customHeight="1">
      <c r="B405" s="378"/>
      <c r="C405" s="378"/>
      <c r="D405" s="378"/>
      <c r="E405" s="378"/>
      <c r="F405" s="378"/>
      <c r="G405" s="378"/>
      <c r="H405" s="378"/>
      <c r="I405" s="378"/>
      <c r="J405" s="378"/>
      <c r="K405" s="378"/>
      <c r="L405" s="378"/>
      <c r="M405" s="378"/>
      <c r="N405" s="378"/>
      <c r="O405" s="378"/>
      <c r="P405" s="378"/>
      <c r="Q405" s="378"/>
      <c r="R405" s="378"/>
      <c r="S405" s="378"/>
      <c r="T405" s="378"/>
      <c r="U405" s="378"/>
      <c r="V405" s="378"/>
      <c r="W405" s="378"/>
      <c r="X405" s="378"/>
      <c r="Y405" s="378"/>
      <c r="Z405" s="378"/>
    </row>
    <row r="406" spans="2:26" s="359" customFormat="1" ht="20.100000000000001" customHeight="1">
      <c r="B406" s="378"/>
      <c r="C406" s="378"/>
      <c r="D406" s="378"/>
      <c r="E406" s="378"/>
      <c r="F406" s="378"/>
      <c r="G406" s="378"/>
      <c r="H406" s="378"/>
      <c r="I406" s="378"/>
      <c r="J406" s="378"/>
      <c r="K406" s="378"/>
      <c r="L406" s="378"/>
      <c r="M406" s="378"/>
      <c r="N406" s="378"/>
      <c r="O406" s="378"/>
      <c r="P406" s="378"/>
      <c r="Q406" s="378"/>
      <c r="R406" s="378"/>
      <c r="S406" s="378"/>
      <c r="T406" s="378"/>
      <c r="U406" s="378"/>
      <c r="V406" s="378"/>
      <c r="W406" s="378"/>
      <c r="X406" s="378"/>
      <c r="Y406" s="378"/>
      <c r="Z406" s="378"/>
    </row>
    <row r="407" spans="2:26" s="359" customFormat="1" ht="20.100000000000001" customHeight="1">
      <c r="B407" s="378"/>
      <c r="C407" s="378"/>
      <c r="D407" s="378"/>
      <c r="E407" s="378"/>
      <c r="F407" s="378"/>
      <c r="G407" s="378"/>
      <c r="H407" s="378"/>
      <c r="I407" s="378"/>
      <c r="J407" s="378"/>
      <c r="K407" s="378"/>
      <c r="L407" s="378"/>
      <c r="M407" s="378"/>
      <c r="N407" s="378"/>
      <c r="O407" s="378"/>
      <c r="P407" s="378"/>
      <c r="Q407" s="378"/>
      <c r="R407" s="378"/>
      <c r="S407" s="378"/>
      <c r="T407" s="378"/>
      <c r="U407" s="378"/>
      <c r="V407" s="378"/>
      <c r="W407" s="378"/>
      <c r="X407" s="378"/>
      <c r="Y407" s="378"/>
      <c r="Z407" s="378"/>
    </row>
    <row r="408" spans="2:26" s="359" customFormat="1" ht="20.100000000000001" customHeight="1">
      <c r="B408" s="378"/>
      <c r="C408" s="378"/>
      <c r="D408" s="378"/>
      <c r="E408" s="378"/>
      <c r="F408" s="378"/>
      <c r="G408" s="378"/>
      <c r="H408" s="378"/>
      <c r="I408" s="378"/>
      <c r="J408" s="378"/>
      <c r="K408" s="378"/>
      <c r="L408" s="378"/>
      <c r="M408" s="378"/>
      <c r="N408" s="378"/>
      <c r="O408" s="378"/>
      <c r="P408" s="378"/>
      <c r="Q408" s="378"/>
      <c r="R408" s="378"/>
      <c r="S408" s="378"/>
      <c r="T408" s="378"/>
      <c r="U408" s="378"/>
      <c r="V408" s="378"/>
      <c r="W408" s="378"/>
      <c r="X408" s="378"/>
      <c r="Y408" s="378"/>
      <c r="Z408" s="378"/>
    </row>
    <row r="409" spans="2:26" s="359" customFormat="1" ht="20.100000000000001" customHeight="1">
      <c r="B409" s="378"/>
      <c r="C409" s="378"/>
      <c r="D409" s="378"/>
      <c r="E409" s="378"/>
      <c r="F409" s="378"/>
      <c r="G409" s="378"/>
      <c r="H409" s="378"/>
      <c r="I409" s="378"/>
      <c r="J409" s="378"/>
      <c r="K409" s="378"/>
      <c r="L409" s="378"/>
      <c r="M409" s="378"/>
      <c r="N409" s="378"/>
      <c r="O409" s="378"/>
      <c r="P409" s="378"/>
      <c r="Q409" s="378"/>
      <c r="R409" s="378"/>
      <c r="S409" s="378"/>
      <c r="T409" s="378"/>
      <c r="U409" s="378"/>
      <c r="V409" s="378"/>
      <c r="W409" s="378"/>
      <c r="X409" s="378"/>
      <c r="Y409" s="378"/>
      <c r="Z409" s="378"/>
    </row>
    <row r="410" spans="2:26" s="359" customFormat="1" ht="20.100000000000001" customHeight="1">
      <c r="B410" s="378"/>
      <c r="C410" s="378"/>
      <c r="D410" s="378"/>
      <c r="E410" s="378"/>
      <c r="F410" s="378"/>
      <c r="G410" s="378"/>
      <c r="H410" s="378"/>
      <c r="I410" s="378"/>
      <c r="J410" s="378"/>
      <c r="K410" s="378"/>
      <c r="L410" s="378"/>
      <c r="M410" s="378"/>
      <c r="N410" s="378"/>
      <c r="O410" s="378"/>
      <c r="P410" s="378"/>
      <c r="Q410" s="378"/>
      <c r="R410" s="378"/>
      <c r="S410" s="378"/>
      <c r="T410" s="378"/>
      <c r="U410" s="378"/>
      <c r="V410" s="378"/>
      <c r="W410" s="378"/>
      <c r="X410" s="378"/>
      <c r="Y410" s="378"/>
      <c r="Z410" s="378"/>
    </row>
    <row r="411" spans="2:26" s="359" customFormat="1" ht="20.100000000000001" customHeight="1">
      <c r="B411" s="378"/>
      <c r="C411" s="378"/>
      <c r="D411" s="378"/>
      <c r="E411" s="378"/>
      <c r="F411" s="378"/>
      <c r="G411" s="378"/>
      <c r="H411" s="378"/>
      <c r="I411" s="378"/>
      <c r="J411" s="378"/>
      <c r="K411" s="378"/>
      <c r="L411" s="378"/>
      <c r="M411" s="378"/>
      <c r="N411" s="378"/>
      <c r="O411" s="378"/>
      <c r="P411" s="378"/>
      <c r="Q411" s="378"/>
      <c r="R411" s="378"/>
      <c r="S411" s="378"/>
      <c r="T411" s="378"/>
      <c r="U411" s="378"/>
      <c r="V411" s="378"/>
      <c r="W411" s="378"/>
      <c r="X411" s="378"/>
      <c r="Y411" s="378"/>
      <c r="Z411" s="378"/>
    </row>
    <row r="412" spans="2:26" s="359" customFormat="1" ht="20.100000000000001" customHeight="1">
      <c r="B412" s="378"/>
      <c r="C412" s="378"/>
      <c r="D412" s="378"/>
      <c r="E412" s="378"/>
      <c r="F412" s="378"/>
      <c r="G412" s="378"/>
      <c r="H412" s="378"/>
      <c r="I412" s="378"/>
      <c r="J412" s="378"/>
      <c r="K412" s="378"/>
      <c r="L412" s="378"/>
      <c r="M412" s="378"/>
      <c r="N412" s="378"/>
      <c r="O412" s="378"/>
      <c r="P412" s="378"/>
      <c r="Q412" s="378"/>
      <c r="R412" s="378"/>
      <c r="S412" s="378"/>
      <c r="T412" s="378"/>
      <c r="U412" s="378"/>
      <c r="V412" s="378"/>
      <c r="W412" s="378"/>
      <c r="X412" s="378"/>
      <c r="Y412" s="378"/>
      <c r="Z412" s="378"/>
    </row>
    <row r="413" spans="2:26" s="359" customFormat="1" ht="20.100000000000001" customHeight="1">
      <c r="B413" s="378"/>
      <c r="C413" s="378"/>
      <c r="D413" s="378"/>
      <c r="E413" s="378"/>
      <c r="F413" s="378"/>
      <c r="G413" s="378"/>
      <c r="H413" s="378"/>
      <c r="I413" s="378"/>
      <c r="J413" s="378"/>
      <c r="K413" s="378"/>
      <c r="L413" s="378"/>
      <c r="M413" s="378"/>
      <c r="N413" s="378"/>
      <c r="O413" s="378"/>
      <c r="P413" s="378"/>
      <c r="Q413" s="378"/>
      <c r="R413" s="378"/>
      <c r="S413" s="378"/>
      <c r="T413" s="378"/>
      <c r="U413" s="378"/>
      <c r="V413" s="378"/>
      <c r="W413" s="378"/>
      <c r="X413" s="378"/>
      <c r="Y413" s="378"/>
      <c r="Z413" s="378"/>
    </row>
    <row r="414" spans="2:26" s="359" customFormat="1" ht="20.100000000000001" customHeight="1">
      <c r="B414" s="378"/>
      <c r="C414" s="378"/>
      <c r="D414" s="378"/>
      <c r="E414" s="378"/>
      <c r="F414" s="378"/>
      <c r="G414" s="378"/>
      <c r="H414" s="378"/>
      <c r="I414" s="378"/>
      <c r="J414" s="378"/>
      <c r="K414" s="378"/>
      <c r="L414" s="378"/>
      <c r="M414" s="378"/>
      <c r="N414" s="378"/>
      <c r="O414" s="378"/>
      <c r="P414" s="378"/>
      <c r="Q414" s="378"/>
      <c r="R414" s="378"/>
      <c r="S414" s="378"/>
      <c r="T414" s="378"/>
      <c r="U414" s="378"/>
      <c r="V414" s="378"/>
      <c r="W414" s="378"/>
      <c r="X414" s="378"/>
      <c r="Y414" s="378"/>
      <c r="Z414" s="378"/>
    </row>
    <row r="415" spans="2:26" s="359" customFormat="1" ht="20.100000000000001" customHeight="1">
      <c r="B415" s="378"/>
      <c r="C415" s="378"/>
      <c r="D415" s="378"/>
      <c r="E415" s="378"/>
      <c r="F415" s="378"/>
      <c r="G415" s="378"/>
      <c r="H415" s="378"/>
      <c r="I415" s="378"/>
      <c r="J415" s="378"/>
      <c r="K415" s="378"/>
      <c r="L415" s="378"/>
      <c r="M415" s="378"/>
      <c r="N415" s="378"/>
      <c r="O415" s="378"/>
      <c r="P415" s="378"/>
      <c r="Q415" s="378"/>
      <c r="R415" s="378"/>
      <c r="S415" s="378"/>
      <c r="T415" s="378"/>
      <c r="U415" s="378"/>
      <c r="V415" s="378"/>
      <c r="W415" s="378"/>
      <c r="X415" s="378"/>
      <c r="Y415" s="378"/>
      <c r="Z415" s="378"/>
    </row>
    <row r="416" spans="2:26" s="359" customFormat="1" ht="20.100000000000001" customHeight="1">
      <c r="B416" s="378"/>
      <c r="C416" s="378"/>
      <c r="D416" s="378"/>
      <c r="E416" s="378"/>
      <c r="F416" s="378"/>
      <c r="G416" s="378"/>
      <c r="H416" s="378"/>
      <c r="I416" s="378"/>
      <c r="J416" s="378"/>
      <c r="K416" s="378"/>
      <c r="L416" s="378"/>
      <c r="M416" s="378"/>
      <c r="N416" s="378"/>
      <c r="O416" s="378"/>
      <c r="P416" s="378"/>
      <c r="Q416" s="378"/>
      <c r="R416" s="378"/>
      <c r="S416" s="378"/>
      <c r="T416" s="378"/>
      <c r="U416" s="378"/>
      <c r="V416" s="378"/>
      <c r="W416" s="378"/>
      <c r="X416" s="378"/>
      <c r="Y416" s="378"/>
      <c r="Z416" s="378"/>
    </row>
    <row r="417" spans="2:26" s="359" customFormat="1" ht="20.100000000000001" customHeight="1">
      <c r="B417" s="378"/>
      <c r="C417" s="378"/>
      <c r="D417" s="378"/>
      <c r="E417" s="378"/>
      <c r="F417" s="378"/>
      <c r="G417" s="378"/>
      <c r="H417" s="378"/>
      <c r="I417" s="378"/>
      <c r="J417" s="378"/>
      <c r="K417" s="378"/>
      <c r="L417" s="378"/>
      <c r="M417" s="378"/>
      <c r="N417" s="378"/>
      <c r="O417" s="378"/>
      <c r="P417" s="378"/>
      <c r="Q417" s="378"/>
      <c r="R417" s="378"/>
      <c r="S417" s="378"/>
      <c r="T417" s="378"/>
      <c r="U417" s="378"/>
      <c r="V417" s="378"/>
      <c r="W417" s="378"/>
      <c r="X417" s="378"/>
      <c r="Y417" s="378"/>
      <c r="Z417" s="378"/>
    </row>
    <row r="418" spans="2:26" s="359" customFormat="1" ht="20.100000000000001" customHeight="1">
      <c r="B418" s="378"/>
      <c r="C418" s="378"/>
      <c r="D418" s="378"/>
      <c r="E418" s="378"/>
      <c r="F418" s="378"/>
      <c r="G418" s="378"/>
      <c r="H418" s="378"/>
      <c r="I418" s="378"/>
      <c r="J418" s="378"/>
      <c r="K418" s="378"/>
      <c r="L418" s="378"/>
      <c r="M418" s="378"/>
      <c r="N418" s="378"/>
      <c r="O418" s="378"/>
      <c r="P418" s="378"/>
      <c r="Q418" s="378"/>
      <c r="R418" s="378"/>
      <c r="S418" s="378"/>
      <c r="T418" s="378"/>
      <c r="U418" s="378"/>
      <c r="V418" s="378"/>
      <c r="W418" s="378"/>
      <c r="X418" s="378"/>
      <c r="Y418" s="378"/>
      <c r="Z418" s="378"/>
    </row>
    <row r="419" spans="2:26" s="359" customFormat="1" ht="20.100000000000001" customHeight="1">
      <c r="B419" s="378"/>
      <c r="C419" s="378"/>
      <c r="D419" s="378"/>
      <c r="E419" s="378"/>
      <c r="F419" s="378"/>
      <c r="G419" s="378"/>
      <c r="H419" s="378"/>
      <c r="I419" s="378"/>
      <c r="J419" s="378"/>
      <c r="K419" s="378"/>
      <c r="L419" s="378"/>
      <c r="M419" s="378"/>
      <c r="N419" s="378"/>
      <c r="O419" s="378"/>
      <c r="P419" s="378"/>
      <c r="Q419" s="378"/>
      <c r="R419" s="378"/>
      <c r="S419" s="378"/>
      <c r="T419" s="378"/>
      <c r="U419" s="378"/>
      <c r="V419" s="378"/>
      <c r="W419" s="378"/>
      <c r="X419" s="378"/>
      <c r="Y419" s="378"/>
      <c r="Z419" s="378"/>
    </row>
    <row r="420" spans="2:26" s="359" customFormat="1" ht="20.100000000000001" customHeight="1">
      <c r="B420" s="378"/>
      <c r="C420" s="378"/>
      <c r="D420" s="378"/>
      <c r="E420" s="378"/>
      <c r="F420" s="378"/>
      <c r="G420" s="378"/>
      <c r="H420" s="378"/>
      <c r="I420" s="378"/>
      <c r="J420" s="378"/>
      <c r="K420" s="378"/>
      <c r="L420" s="378"/>
      <c r="M420" s="378"/>
      <c r="N420" s="378"/>
      <c r="O420" s="378"/>
      <c r="P420" s="378"/>
      <c r="Q420" s="378"/>
      <c r="R420" s="378"/>
      <c r="S420" s="378"/>
      <c r="T420" s="378"/>
      <c r="U420" s="378"/>
      <c r="V420" s="378"/>
      <c r="W420" s="378"/>
      <c r="X420" s="378"/>
      <c r="Y420" s="378"/>
      <c r="Z420" s="378"/>
    </row>
    <row r="421" spans="2:26" s="359" customFormat="1" ht="20.100000000000001" customHeight="1">
      <c r="B421" s="378"/>
      <c r="C421" s="378"/>
      <c r="D421" s="378"/>
      <c r="E421" s="378"/>
      <c r="F421" s="378"/>
      <c r="G421" s="378"/>
      <c r="H421" s="378"/>
      <c r="I421" s="378"/>
      <c r="J421" s="378"/>
      <c r="K421" s="378"/>
      <c r="L421" s="378"/>
      <c r="M421" s="378"/>
      <c r="N421" s="378"/>
      <c r="O421" s="378"/>
      <c r="P421" s="378"/>
      <c r="Q421" s="378"/>
      <c r="R421" s="378"/>
      <c r="S421" s="378"/>
      <c r="T421" s="378"/>
      <c r="U421" s="378"/>
      <c r="V421" s="378"/>
      <c r="W421" s="378"/>
      <c r="X421" s="378"/>
      <c r="Y421" s="378"/>
      <c r="Z421" s="378"/>
    </row>
    <row r="422" spans="2:26" s="359" customFormat="1" ht="20.100000000000001" customHeight="1">
      <c r="B422" s="378"/>
      <c r="C422" s="378"/>
      <c r="D422" s="378"/>
      <c r="E422" s="378"/>
      <c r="F422" s="378"/>
      <c r="G422" s="378"/>
      <c r="H422" s="378"/>
      <c r="I422" s="378"/>
      <c r="J422" s="378"/>
      <c r="K422" s="378"/>
      <c r="L422" s="378"/>
      <c r="M422" s="378"/>
      <c r="N422" s="378"/>
      <c r="O422" s="378"/>
      <c r="P422" s="378"/>
      <c r="Q422" s="378"/>
      <c r="R422" s="378"/>
      <c r="S422" s="378"/>
      <c r="T422" s="378"/>
      <c r="U422" s="378"/>
      <c r="V422" s="378"/>
      <c r="W422" s="378"/>
      <c r="X422" s="378"/>
      <c r="Y422" s="378"/>
      <c r="Z422" s="378"/>
    </row>
    <row r="423" spans="2:26" s="359" customFormat="1" ht="20.100000000000001" customHeight="1">
      <c r="B423" s="378"/>
      <c r="C423" s="378"/>
      <c r="D423" s="378"/>
      <c r="E423" s="378"/>
      <c r="F423" s="378"/>
      <c r="G423" s="378"/>
      <c r="H423" s="378"/>
      <c r="I423" s="378"/>
      <c r="J423" s="378"/>
      <c r="K423" s="378"/>
      <c r="L423" s="378"/>
      <c r="M423" s="378"/>
      <c r="N423" s="378"/>
      <c r="O423" s="378"/>
      <c r="P423" s="378"/>
      <c r="Q423" s="378"/>
      <c r="R423" s="378"/>
      <c r="S423" s="378"/>
      <c r="T423" s="378"/>
      <c r="U423" s="378"/>
      <c r="V423" s="378"/>
      <c r="W423" s="378"/>
      <c r="X423" s="378"/>
      <c r="Y423" s="378"/>
      <c r="Z423" s="378"/>
    </row>
    <row r="424" spans="2:26" s="359" customFormat="1" ht="20.100000000000001" customHeight="1">
      <c r="B424" s="378"/>
      <c r="C424" s="378"/>
      <c r="D424" s="378"/>
      <c r="E424" s="378"/>
      <c r="F424" s="378"/>
      <c r="G424" s="378"/>
      <c r="H424" s="378"/>
      <c r="I424" s="378"/>
      <c r="J424" s="378"/>
      <c r="K424" s="378"/>
      <c r="L424" s="378"/>
      <c r="M424" s="378"/>
      <c r="N424" s="378"/>
      <c r="O424" s="378"/>
      <c r="P424" s="378"/>
      <c r="Q424" s="378"/>
      <c r="R424" s="378"/>
      <c r="S424" s="378"/>
      <c r="T424" s="378"/>
      <c r="U424" s="378"/>
      <c r="V424" s="378"/>
      <c r="W424" s="378"/>
      <c r="X424" s="378"/>
      <c r="Y424" s="378"/>
      <c r="Z424" s="378"/>
    </row>
    <row r="425" spans="2:26" s="359" customFormat="1" ht="20.100000000000001" customHeight="1">
      <c r="B425" s="378"/>
      <c r="C425" s="378"/>
      <c r="D425" s="378"/>
      <c r="E425" s="378"/>
      <c r="F425" s="378"/>
      <c r="G425" s="378"/>
      <c r="H425" s="378"/>
      <c r="I425" s="378"/>
      <c r="J425" s="378"/>
      <c r="K425" s="378"/>
      <c r="L425" s="378"/>
      <c r="M425" s="378"/>
      <c r="N425" s="378"/>
      <c r="O425" s="378"/>
      <c r="P425" s="378"/>
      <c r="Q425" s="378"/>
      <c r="R425" s="378"/>
      <c r="S425" s="378"/>
      <c r="T425" s="378"/>
      <c r="U425" s="378"/>
      <c r="V425" s="378"/>
      <c r="W425" s="378"/>
      <c r="X425" s="378"/>
      <c r="Y425" s="378"/>
      <c r="Z425" s="378"/>
    </row>
    <row r="426" spans="2:26" s="359" customFormat="1" ht="20.100000000000001" customHeight="1">
      <c r="B426" s="378"/>
      <c r="C426" s="378"/>
      <c r="D426" s="378"/>
      <c r="E426" s="378"/>
      <c r="F426" s="378"/>
      <c r="G426" s="378"/>
      <c r="H426" s="378"/>
      <c r="I426" s="378"/>
      <c r="J426" s="378"/>
      <c r="K426" s="378"/>
      <c r="L426" s="378"/>
      <c r="M426" s="378"/>
      <c r="N426" s="378"/>
      <c r="O426" s="378"/>
      <c r="P426" s="378"/>
      <c r="Q426" s="378"/>
      <c r="R426" s="378"/>
      <c r="S426" s="378"/>
      <c r="T426" s="378"/>
      <c r="U426" s="378"/>
      <c r="V426" s="378"/>
      <c r="W426" s="378"/>
      <c r="X426" s="378"/>
      <c r="Y426" s="378"/>
      <c r="Z426" s="378"/>
    </row>
    <row r="427" spans="2:26" s="359" customFormat="1" ht="20.100000000000001" customHeight="1">
      <c r="B427" s="378"/>
      <c r="C427" s="378"/>
      <c r="D427" s="378"/>
      <c r="E427" s="378"/>
      <c r="F427" s="378"/>
      <c r="G427" s="378"/>
      <c r="H427" s="378"/>
      <c r="I427" s="378"/>
      <c r="J427" s="378"/>
      <c r="K427" s="378"/>
      <c r="L427" s="378"/>
      <c r="M427" s="378"/>
      <c r="N427" s="378"/>
      <c r="O427" s="378"/>
      <c r="P427" s="378"/>
      <c r="Q427" s="378"/>
      <c r="R427" s="378"/>
      <c r="S427" s="378"/>
      <c r="T427" s="378"/>
      <c r="U427" s="378"/>
      <c r="V427" s="378"/>
      <c r="W427" s="378"/>
      <c r="X427" s="378"/>
      <c r="Y427" s="378"/>
      <c r="Z427" s="378"/>
    </row>
    <row r="428" spans="2:26" s="359" customFormat="1" ht="20.100000000000001" customHeight="1">
      <c r="B428" s="378"/>
      <c r="C428" s="378"/>
      <c r="D428" s="378"/>
      <c r="E428" s="378"/>
      <c r="F428" s="378"/>
      <c r="G428" s="378"/>
      <c r="H428" s="378"/>
      <c r="I428" s="378"/>
      <c r="J428" s="378"/>
      <c r="K428" s="378"/>
      <c r="L428" s="378"/>
      <c r="M428" s="378"/>
      <c r="N428" s="378"/>
      <c r="O428" s="378"/>
      <c r="P428" s="378"/>
      <c r="Q428" s="378"/>
      <c r="R428" s="378"/>
      <c r="S428" s="378"/>
      <c r="T428" s="378"/>
      <c r="U428" s="378"/>
      <c r="V428" s="378"/>
      <c r="W428" s="378"/>
      <c r="X428" s="378"/>
      <c r="Y428" s="378"/>
      <c r="Z428" s="378"/>
    </row>
    <row r="429" spans="2:26" s="359" customFormat="1" ht="20.100000000000001" customHeight="1">
      <c r="B429" s="378"/>
      <c r="C429" s="378"/>
      <c r="D429" s="378"/>
      <c r="E429" s="378"/>
      <c r="F429" s="378"/>
      <c r="G429" s="378"/>
      <c r="H429" s="378"/>
      <c r="I429" s="378"/>
      <c r="J429" s="378"/>
      <c r="K429" s="378"/>
      <c r="L429" s="378"/>
      <c r="M429" s="378"/>
      <c r="N429" s="378"/>
      <c r="O429" s="378"/>
      <c r="P429" s="378"/>
      <c r="Q429" s="378"/>
      <c r="R429" s="378"/>
      <c r="S429" s="378"/>
      <c r="T429" s="378"/>
      <c r="U429" s="378"/>
      <c r="V429" s="378"/>
      <c r="W429" s="378"/>
      <c r="X429" s="378"/>
      <c r="Y429" s="378"/>
      <c r="Z429" s="378"/>
    </row>
    <row r="430" spans="2:26" s="359" customFormat="1" ht="20.100000000000001" customHeight="1">
      <c r="B430" s="378"/>
      <c r="C430" s="378"/>
      <c r="D430" s="378"/>
      <c r="E430" s="378"/>
      <c r="F430" s="378"/>
      <c r="G430" s="378"/>
      <c r="H430" s="378"/>
      <c r="I430" s="378"/>
      <c r="J430" s="378"/>
      <c r="K430" s="378"/>
      <c r="L430" s="378"/>
      <c r="M430" s="378"/>
      <c r="N430" s="378"/>
      <c r="O430" s="378"/>
      <c r="P430" s="378"/>
      <c r="Q430" s="378"/>
      <c r="R430" s="378"/>
      <c r="S430" s="378"/>
      <c r="T430" s="378"/>
      <c r="U430" s="378"/>
      <c r="V430" s="378"/>
      <c r="W430" s="378"/>
      <c r="X430" s="378"/>
      <c r="Y430" s="378"/>
      <c r="Z430" s="378"/>
    </row>
    <row r="431" spans="2:26" s="359" customFormat="1" ht="20.100000000000001" customHeight="1">
      <c r="B431" s="378"/>
      <c r="C431" s="378"/>
      <c r="D431" s="378"/>
      <c r="E431" s="378"/>
      <c r="F431" s="378"/>
      <c r="G431" s="378"/>
      <c r="H431" s="378"/>
      <c r="I431" s="378"/>
      <c r="J431" s="378"/>
      <c r="K431" s="378"/>
      <c r="L431" s="378"/>
      <c r="M431" s="378"/>
      <c r="N431" s="378"/>
      <c r="O431" s="378"/>
      <c r="P431" s="378"/>
      <c r="Q431" s="378"/>
      <c r="R431" s="378"/>
      <c r="S431" s="378"/>
      <c r="T431" s="378"/>
      <c r="U431" s="378"/>
      <c r="V431" s="378"/>
      <c r="W431" s="378"/>
      <c r="X431" s="378"/>
      <c r="Y431" s="378"/>
      <c r="Z431" s="378"/>
    </row>
    <row r="432" spans="2:26" s="359" customFormat="1" ht="20.100000000000001" customHeight="1">
      <c r="B432" s="378"/>
      <c r="C432" s="378"/>
      <c r="D432" s="378"/>
      <c r="E432" s="378"/>
      <c r="F432" s="378"/>
      <c r="G432" s="378"/>
      <c r="H432" s="378"/>
      <c r="I432" s="378"/>
      <c r="J432" s="378"/>
      <c r="K432" s="378"/>
      <c r="L432" s="378"/>
      <c r="M432" s="378"/>
      <c r="N432" s="378"/>
      <c r="O432" s="378"/>
      <c r="P432" s="378"/>
      <c r="Q432" s="378"/>
      <c r="R432" s="378"/>
      <c r="S432" s="378"/>
      <c r="T432" s="378"/>
      <c r="U432" s="378"/>
      <c r="V432" s="378"/>
      <c r="W432" s="378"/>
      <c r="X432" s="378"/>
      <c r="Y432" s="378"/>
      <c r="Z432" s="378"/>
    </row>
    <row r="433" spans="2:26" ht="20.100000000000001" customHeight="1"/>
    <row r="434" spans="2:26" ht="10.15" customHeight="1"/>
    <row r="435" spans="2:26" ht="20.100000000000001" customHeight="1"/>
    <row r="436" spans="2:26" ht="20.100000000000001" customHeight="1"/>
    <row r="437" spans="2:26" ht="20.100000000000001" customHeight="1"/>
    <row r="438" spans="2:26" s="359" customFormat="1" ht="20.100000000000001" customHeight="1">
      <c r="B438" s="378"/>
      <c r="C438" s="378"/>
      <c r="D438" s="378"/>
      <c r="E438" s="378"/>
      <c r="F438" s="378"/>
      <c r="G438" s="378"/>
      <c r="H438" s="378"/>
      <c r="I438" s="378"/>
      <c r="J438" s="378"/>
      <c r="K438" s="378"/>
      <c r="L438" s="378"/>
      <c r="M438" s="378"/>
      <c r="N438" s="378"/>
      <c r="O438" s="378"/>
      <c r="P438" s="378"/>
      <c r="Q438" s="378"/>
      <c r="R438" s="378"/>
      <c r="S438" s="378"/>
      <c r="T438" s="378"/>
      <c r="U438" s="378"/>
      <c r="V438" s="378"/>
      <c r="W438" s="378"/>
      <c r="X438" s="378"/>
      <c r="Y438" s="378"/>
      <c r="Z438" s="378"/>
    </row>
    <row r="439" spans="2:26" s="359" customFormat="1" ht="20.100000000000001" customHeight="1">
      <c r="B439" s="378"/>
      <c r="C439" s="378"/>
      <c r="D439" s="378"/>
      <c r="E439" s="378"/>
      <c r="F439" s="378"/>
      <c r="G439" s="378"/>
      <c r="H439" s="378"/>
      <c r="I439" s="378"/>
      <c r="J439" s="378"/>
      <c r="K439" s="378"/>
      <c r="L439" s="378"/>
      <c r="M439" s="378"/>
      <c r="N439" s="378"/>
      <c r="O439" s="378"/>
      <c r="P439" s="378"/>
      <c r="Q439" s="378"/>
      <c r="R439" s="378"/>
      <c r="S439" s="378"/>
      <c r="T439" s="378"/>
      <c r="U439" s="378"/>
      <c r="V439" s="378"/>
      <c r="W439" s="378"/>
      <c r="X439" s="378"/>
      <c r="Y439" s="378"/>
      <c r="Z439" s="378"/>
    </row>
    <row r="440" spans="2:26" s="359" customFormat="1" ht="20.100000000000001" customHeight="1">
      <c r="B440" s="378"/>
      <c r="C440" s="378"/>
      <c r="D440" s="378"/>
      <c r="E440" s="378"/>
      <c r="F440" s="378"/>
      <c r="G440" s="378"/>
      <c r="H440" s="378"/>
      <c r="I440" s="378"/>
      <c r="J440" s="378"/>
      <c r="K440" s="378"/>
      <c r="L440" s="378"/>
      <c r="M440" s="378"/>
      <c r="N440" s="378"/>
      <c r="O440" s="378"/>
      <c r="P440" s="378"/>
      <c r="Q440" s="378"/>
      <c r="R440" s="378"/>
      <c r="S440" s="378"/>
      <c r="T440" s="378"/>
      <c r="U440" s="378"/>
      <c r="V440" s="378"/>
      <c r="W440" s="378"/>
      <c r="X440" s="378"/>
      <c r="Y440" s="378"/>
      <c r="Z440" s="378"/>
    </row>
    <row r="441" spans="2:26" s="359" customFormat="1" ht="20.100000000000001" customHeight="1">
      <c r="B441" s="378"/>
      <c r="C441" s="378"/>
      <c r="D441" s="378"/>
      <c r="E441" s="378"/>
      <c r="F441" s="378"/>
      <c r="G441" s="378"/>
      <c r="H441" s="378"/>
      <c r="I441" s="378"/>
      <c r="J441" s="378"/>
      <c r="K441" s="378"/>
      <c r="L441" s="378"/>
      <c r="M441" s="378"/>
      <c r="N441" s="378"/>
      <c r="O441" s="378"/>
      <c r="P441" s="378"/>
      <c r="Q441" s="378"/>
      <c r="R441" s="378"/>
      <c r="S441" s="378"/>
      <c r="T441" s="378"/>
      <c r="U441" s="378"/>
      <c r="V441" s="378"/>
      <c r="W441" s="378"/>
      <c r="X441" s="378"/>
      <c r="Y441" s="378"/>
      <c r="Z441" s="378"/>
    </row>
    <row r="442" spans="2:26" s="359" customFormat="1" ht="20.100000000000001" customHeight="1">
      <c r="B442" s="378"/>
      <c r="C442" s="378"/>
      <c r="D442" s="378"/>
      <c r="E442" s="378"/>
      <c r="F442" s="378"/>
      <c r="G442" s="378"/>
      <c r="H442" s="378"/>
      <c r="I442" s="378"/>
      <c r="J442" s="378"/>
      <c r="K442" s="378"/>
      <c r="L442" s="378"/>
      <c r="M442" s="378"/>
      <c r="N442" s="378"/>
      <c r="O442" s="378"/>
      <c r="P442" s="378"/>
      <c r="Q442" s="378"/>
      <c r="R442" s="378"/>
      <c r="S442" s="378"/>
      <c r="T442" s="378"/>
      <c r="U442" s="378"/>
      <c r="V442" s="378"/>
      <c r="W442" s="378"/>
      <c r="X442" s="378"/>
      <c r="Y442" s="378"/>
      <c r="Z442" s="378"/>
    </row>
    <row r="443" spans="2:26" s="359" customFormat="1" ht="20.100000000000001" customHeight="1">
      <c r="B443" s="378"/>
      <c r="C443" s="378"/>
      <c r="D443" s="378"/>
      <c r="E443" s="378"/>
      <c r="F443" s="378"/>
      <c r="G443" s="378"/>
      <c r="H443" s="378"/>
      <c r="I443" s="378"/>
      <c r="J443" s="378"/>
      <c r="K443" s="378"/>
      <c r="L443" s="378"/>
      <c r="M443" s="378"/>
      <c r="N443" s="378"/>
      <c r="O443" s="378"/>
      <c r="P443" s="378"/>
      <c r="Q443" s="378"/>
      <c r="R443" s="378"/>
      <c r="S443" s="378"/>
      <c r="T443" s="378"/>
      <c r="U443" s="378"/>
      <c r="V443" s="378"/>
      <c r="W443" s="378"/>
      <c r="X443" s="378"/>
      <c r="Y443" s="378"/>
      <c r="Z443" s="378"/>
    </row>
    <row r="444" spans="2:26" s="359" customFormat="1" ht="20.100000000000001" customHeight="1">
      <c r="B444" s="378"/>
      <c r="C444" s="378"/>
      <c r="D444" s="378"/>
      <c r="E444" s="378"/>
      <c r="F444" s="378"/>
      <c r="G444" s="378"/>
      <c r="H444" s="378"/>
      <c r="I444" s="378"/>
      <c r="J444" s="378"/>
      <c r="K444" s="378"/>
      <c r="L444" s="378"/>
      <c r="M444" s="378"/>
      <c r="N444" s="378"/>
      <c r="O444" s="378"/>
      <c r="P444" s="378"/>
      <c r="Q444" s="378"/>
      <c r="R444" s="378"/>
      <c r="S444" s="378"/>
      <c r="T444" s="378"/>
      <c r="U444" s="378"/>
      <c r="V444" s="378"/>
      <c r="W444" s="378"/>
      <c r="X444" s="378"/>
      <c r="Y444" s="378"/>
      <c r="Z444" s="378"/>
    </row>
    <row r="445" spans="2:26" s="359" customFormat="1" ht="20.100000000000001" customHeight="1">
      <c r="B445" s="378"/>
      <c r="C445" s="378"/>
      <c r="D445" s="378"/>
      <c r="E445" s="378"/>
      <c r="F445" s="378"/>
      <c r="G445" s="378"/>
      <c r="H445" s="378"/>
      <c r="I445" s="378"/>
      <c r="J445" s="378"/>
      <c r="K445" s="378"/>
      <c r="L445" s="378"/>
      <c r="M445" s="378"/>
      <c r="N445" s="378"/>
      <c r="O445" s="378"/>
      <c r="P445" s="378"/>
      <c r="Q445" s="378"/>
      <c r="R445" s="378"/>
      <c r="S445" s="378"/>
      <c r="T445" s="378"/>
      <c r="U445" s="378"/>
      <c r="V445" s="378"/>
      <c r="W445" s="378"/>
      <c r="X445" s="378"/>
      <c r="Y445" s="378"/>
      <c r="Z445" s="378"/>
    </row>
    <row r="446" spans="2:26" s="359" customFormat="1" ht="20.100000000000001" customHeight="1">
      <c r="B446" s="378"/>
      <c r="C446" s="378"/>
      <c r="D446" s="378"/>
      <c r="E446" s="378"/>
      <c r="F446" s="378"/>
      <c r="G446" s="378"/>
      <c r="H446" s="378"/>
      <c r="I446" s="378"/>
      <c r="J446" s="378"/>
      <c r="K446" s="378"/>
      <c r="L446" s="378"/>
      <c r="M446" s="378"/>
      <c r="N446" s="378"/>
      <c r="O446" s="378"/>
      <c r="P446" s="378"/>
      <c r="Q446" s="378"/>
      <c r="R446" s="378"/>
      <c r="S446" s="378"/>
      <c r="T446" s="378"/>
      <c r="U446" s="378"/>
      <c r="V446" s="378"/>
      <c r="W446" s="378"/>
      <c r="X446" s="378"/>
      <c r="Y446" s="378"/>
      <c r="Z446" s="378"/>
    </row>
    <row r="447" spans="2:26" s="359" customFormat="1" ht="20.100000000000001" customHeight="1">
      <c r="B447" s="378"/>
      <c r="C447" s="378"/>
      <c r="D447" s="378"/>
      <c r="E447" s="378"/>
      <c r="F447" s="378"/>
      <c r="G447" s="378"/>
      <c r="H447" s="378"/>
      <c r="I447" s="378"/>
      <c r="J447" s="378"/>
      <c r="K447" s="378"/>
      <c r="L447" s="378"/>
      <c r="M447" s="378"/>
      <c r="N447" s="378"/>
      <c r="O447" s="378"/>
      <c r="P447" s="378"/>
      <c r="Q447" s="378"/>
      <c r="R447" s="378"/>
      <c r="S447" s="378"/>
      <c r="T447" s="378"/>
      <c r="U447" s="378"/>
      <c r="V447" s="378"/>
      <c r="W447" s="378"/>
      <c r="X447" s="378"/>
      <c r="Y447" s="378"/>
      <c r="Z447" s="378"/>
    </row>
    <row r="448" spans="2:26" s="359" customFormat="1" ht="20.100000000000001" customHeight="1">
      <c r="B448" s="378"/>
      <c r="C448" s="378"/>
      <c r="D448" s="378"/>
      <c r="E448" s="378"/>
      <c r="F448" s="378"/>
      <c r="G448" s="378"/>
      <c r="H448" s="378"/>
      <c r="I448" s="378"/>
      <c r="J448" s="378"/>
      <c r="K448" s="378"/>
      <c r="L448" s="378"/>
      <c r="M448" s="378"/>
      <c r="N448" s="378"/>
      <c r="O448" s="378"/>
      <c r="P448" s="378"/>
      <c r="Q448" s="378"/>
      <c r="R448" s="378"/>
      <c r="S448" s="378"/>
      <c r="T448" s="378"/>
      <c r="U448" s="378"/>
      <c r="V448" s="378"/>
      <c r="W448" s="378"/>
      <c r="X448" s="378"/>
      <c r="Y448" s="378"/>
      <c r="Z448" s="378"/>
    </row>
    <row r="449" spans="2:26" s="359" customFormat="1" ht="20.100000000000001" customHeight="1">
      <c r="B449" s="378"/>
      <c r="C449" s="378"/>
      <c r="D449" s="378"/>
      <c r="E449" s="378"/>
      <c r="F449" s="378"/>
      <c r="G449" s="378"/>
      <c r="H449" s="378"/>
      <c r="I449" s="378"/>
      <c r="J449" s="378"/>
      <c r="K449" s="378"/>
      <c r="L449" s="378"/>
      <c r="M449" s="378"/>
      <c r="N449" s="378"/>
      <c r="O449" s="378"/>
      <c r="P449" s="378"/>
      <c r="Q449" s="378"/>
      <c r="R449" s="378"/>
      <c r="S449" s="378"/>
      <c r="T449" s="378"/>
      <c r="U449" s="378"/>
      <c r="V449" s="378"/>
      <c r="W449" s="378"/>
      <c r="X449" s="378"/>
      <c r="Y449" s="378"/>
      <c r="Z449" s="378"/>
    </row>
    <row r="450" spans="2:26" s="359" customFormat="1" ht="20.100000000000001" customHeight="1">
      <c r="B450" s="378"/>
      <c r="C450" s="378"/>
      <c r="D450" s="378"/>
      <c r="E450" s="378"/>
      <c r="F450" s="378"/>
      <c r="G450" s="378"/>
      <c r="H450" s="378"/>
      <c r="I450" s="378"/>
      <c r="J450" s="378"/>
      <c r="K450" s="378"/>
      <c r="L450" s="378"/>
      <c r="M450" s="378"/>
      <c r="N450" s="378"/>
      <c r="O450" s="378"/>
      <c r="P450" s="378"/>
      <c r="Q450" s="378"/>
      <c r="R450" s="378"/>
      <c r="S450" s="378"/>
      <c r="T450" s="378"/>
      <c r="U450" s="378"/>
      <c r="V450" s="378"/>
      <c r="W450" s="378"/>
      <c r="X450" s="378"/>
      <c r="Y450" s="378"/>
      <c r="Z450" s="378"/>
    </row>
    <row r="451" spans="2:26" s="359" customFormat="1" ht="20.100000000000001" customHeight="1">
      <c r="B451" s="378"/>
      <c r="C451" s="378"/>
      <c r="D451" s="378"/>
      <c r="E451" s="378"/>
      <c r="F451" s="378"/>
      <c r="G451" s="378"/>
      <c r="H451" s="378"/>
      <c r="I451" s="378"/>
      <c r="J451" s="378"/>
      <c r="K451" s="378"/>
      <c r="L451" s="378"/>
      <c r="M451" s="378"/>
      <c r="N451" s="378"/>
      <c r="O451" s="378"/>
      <c r="P451" s="378"/>
      <c r="Q451" s="378"/>
      <c r="R451" s="378"/>
      <c r="S451" s="378"/>
      <c r="T451" s="378"/>
      <c r="U451" s="378"/>
      <c r="V451" s="378"/>
      <c r="W451" s="378"/>
      <c r="X451" s="378"/>
      <c r="Y451" s="378"/>
      <c r="Z451" s="378"/>
    </row>
    <row r="452" spans="2:26" s="359" customFormat="1" ht="20.100000000000001" customHeight="1">
      <c r="B452" s="378"/>
      <c r="C452" s="378"/>
      <c r="D452" s="378"/>
      <c r="E452" s="378"/>
      <c r="F452" s="378"/>
      <c r="G452" s="378"/>
      <c r="H452" s="378"/>
      <c r="I452" s="378"/>
      <c r="J452" s="378"/>
      <c r="K452" s="378"/>
      <c r="L452" s="378"/>
      <c r="M452" s="378"/>
      <c r="N452" s="378"/>
      <c r="O452" s="378"/>
      <c r="P452" s="378"/>
      <c r="Q452" s="378"/>
      <c r="R452" s="378"/>
      <c r="S452" s="378"/>
      <c r="T452" s="378"/>
      <c r="U452" s="378"/>
      <c r="V452" s="378"/>
      <c r="W452" s="378"/>
      <c r="X452" s="378"/>
      <c r="Y452" s="378"/>
      <c r="Z452" s="378"/>
    </row>
    <row r="453" spans="2:26" s="359" customFormat="1" ht="20.100000000000001" customHeight="1">
      <c r="B453" s="378"/>
      <c r="C453" s="378"/>
      <c r="D453" s="378"/>
      <c r="E453" s="378"/>
      <c r="F453" s="378"/>
      <c r="G453" s="378"/>
      <c r="H453" s="378"/>
      <c r="I453" s="378"/>
      <c r="J453" s="378"/>
      <c r="K453" s="378"/>
      <c r="L453" s="378"/>
      <c r="M453" s="378"/>
      <c r="N453" s="378"/>
      <c r="O453" s="378"/>
      <c r="P453" s="378"/>
      <c r="Q453" s="378"/>
      <c r="R453" s="378"/>
      <c r="S453" s="378"/>
      <c r="T453" s="378"/>
      <c r="U453" s="378"/>
      <c r="V453" s="378"/>
      <c r="W453" s="378"/>
      <c r="X453" s="378"/>
      <c r="Y453" s="378"/>
      <c r="Z453" s="378"/>
    </row>
    <row r="454" spans="2:26" s="359" customFormat="1" ht="20.100000000000001" customHeight="1">
      <c r="B454" s="378"/>
      <c r="C454" s="378"/>
      <c r="D454" s="378"/>
      <c r="E454" s="378"/>
      <c r="F454" s="378"/>
      <c r="G454" s="378"/>
      <c r="H454" s="378"/>
      <c r="I454" s="378"/>
      <c r="J454" s="378"/>
      <c r="K454" s="378"/>
      <c r="L454" s="378"/>
      <c r="M454" s="378"/>
      <c r="N454" s="378"/>
      <c r="O454" s="378"/>
      <c r="P454" s="378"/>
      <c r="Q454" s="378"/>
      <c r="R454" s="378"/>
      <c r="S454" s="378"/>
      <c r="T454" s="378"/>
      <c r="U454" s="378"/>
      <c r="V454" s="378"/>
      <c r="W454" s="378"/>
      <c r="X454" s="378"/>
      <c r="Y454" s="378"/>
      <c r="Z454" s="378"/>
    </row>
    <row r="455" spans="2:26" s="359" customFormat="1" ht="20.100000000000001" customHeight="1">
      <c r="B455" s="378"/>
      <c r="C455" s="378"/>
      <c r="D455" s="378"/>
      <c r="E455" s="378"/>
      <c r="F455" s="378"/>
      <c r="G455" s="378"/>
      <c r="H455" s="378"/>
      <c r="I455" s="378"/>
      <c r="J455" s="378"/>
      <c r="K455" s="378"/>
      <c r="L455" s="378"/>
      <c r="M455" s="378"/>
      <c r="N455" s="378"/>
      <c r="O455" s="378"/>
      <c r="P455" s="378"/>
      <c r="Q455" s="378"/>
      <c r="R455" s="378"/>
      <c r="S455" s="378"/>
      <c r="T455" s="378"/>
      <c r="U455" s="378"/>
      <c r="V455" s="378"/>
      <c r="W455" s="378"/>
      <c r="X455" s="378"/>
      <c r="Y455" s="378"/>
      <c r="Z455" s="378"/>
    </row>
    <row r="456" spans="2:26" s="359" customFormat="1" ht="20.100000000000001" customHeight="1">
      <c r="B456" s="378"/>
      <c r="C456" s="378"/>
      <c r="D456" s="378"/>
      <c r="E456" s="378"/>
      <c r="F456" s="378"/>
      <c r="G456" s="378"/>
      <c r="H456" s="378"/>
      <c r="I456" s="378"/>
      <c r="J456" s="378"/>
      <c r="K456" s="378"/>
      <c r="L456" s="378"/>
      <c r="M456" s="378"/>
      <c r="N456" s="378"/>
      <c r="O456" s="378"/>
      <c r="P456" s="378"/>
      <c r="Q456" s="378"/>
      <c r="R456" s="378"/>
      <c r="S456" s="378"/>
      <c r="T456" s="378"/>
      <c r="U456" s="378"/>
      <c r="V456" s="378"/>
      <c r="W456" s="378"/>
      <c r="X456" s="378"/>
      <c r="Y456" s="378"/>
      <c r="Z456" s="378"/>
    </row>
    <row r="457" spans="2:26" s="359" customFormat="1" ht="20.100000000000001" customHeight="1">
      <c r="B457" s="378"/>
      <c r="C457" s="378"/>
      <c r="D457" s="378"/>
      <c r="E457" s="378"/>
      <c r="F457" s="378"/>
      <c r="G457" s="378"/>
      <c r="H457" s="378"/>
      <c r="I457" s="378"/>
      <c r="J457" s="378"/>
      <c r="K457" s="378"/>
      <c r="L457" s="378"/>
      <c r="M457" s="378"/>
      <c r="N457" s="378"/>
      <c r="O457" s="378"/>
      <c r="P457" s="378"/>
      <c r="Q457" s="378"/>
      <c r="R457" s="378"/>
      <c r="S457" s="378"/>
      <c r="T457" s="378"/>
      <c r="U457" s="378"/>
      <c r="V457" s="378"/>
      <c r="W457" s="378"/>
      <c r="X457" s="378"/>
      <c r="Y457" s="378"/>
      <c r="Z457" s="378"/>
    </row>
    <row r="458" spans="2:26" s="359" customFormat="1" ht="20.100000000000001" customHeight="1">
      <c r="B458" s="378"/>
      <c r="C458" s="378"/>
      <c r="D458" s="378"/>
      <c r="E458" s="378"/>
      <c r="F458" s="378"/>
      <c r="G458" s="378"/>
      <c r="H458" s="378"/>
      <c r="I458" s="378"/>
      <c r="J458" s="378"/>
      <c r="K458" s="378"/>
      <c r="L458" s="378"/>
      <c r="M458" s="378"/>
      <c r="N458" s="378"/>
      <c r="O458" s="378"/>
      <c r="P458" s="378"/>
      <c r="Q458" s="378"/>
      <c r="R458" s="378"/>
      <c r="S458" s="378"/>
      <c r="T458" s="378"/>
      <c r="U458" s="378"/>
      <c r="V458" s="378"/>
      <c r="W458" s="378"/>
      <c r="X458" s="378"/>
      <c r="Y458" s="378"/>
      <c r="Z458" s="378"/>
    </row>
    <row r="459" spans="2:26" s="359" customFormat="1" ht="20.100000000000001" customHeight="1">
      <c r="B459" s="378"/>
      <c r="C459" s="378"/>
      <c r="D459" s="378"/>
      <c r="E459" s="378"/>
      <c r="F459" s="378"/>
      <c r="G459" s="378"/>
      <c r="H459" s="378"/>
      <c r="I459" s="378"/>
      <c r="J459" s="378"/>
      <c r="K459" s="378"/>
      <c r="L459" s="378"/>
      <c r="M459" s="378"/>
      <c r="N459" s="378"/>
      <c r="O459" s="378"/>
      <c r="P459" s="378"/>
      <c r="Q459" s="378"/>
      <c r="R459" s="378"/>
      <c r="S459" s="378"/>
      <c r="T459" s="378"/>
      <c r="U459" s="378"/>
      <c r="V459" s="378"/>
      <c r="W459" s="378"/>
      <c r="X459" s="378"/>
      <c r="Y459" s="378"/>
      <c r="Z459" s="378"/>
    </row>
    <row r="460" spans="2:26" s="359" customFormat="1" ht="20.100000000000001" customHeight="1">
      <c r="B460" s="378"/>
      <c r="C460" s="378"/>
      <c r="D460" s="378"/>
      <c r="E460" s="378"/>
      <c r="F460" s="378"/>
      <c r="G460" s="378"/>
      <c r="H460" s="378"/>
      <c r="I460" s="378"/>
      <c r="J460" s="378"/>
      <c r="K460" s="378"/>
      <c r="L460" s="378"/>
      <c r="M460" s="378"/>
      <c r="N460" s="378"/>
      <c r="O460" s="378"/>
      <c r="P460" s="378"/>
      <c r="Q460" s="378"/>
      <c r="R460" s="378"/>
      <c r="S460" s="378"/>
      <c r="T460" s="378"/>
      <c r="U460" s="378"/>
      <c r="V460" s="378"/>
      <c r="W460" s="378"/>
      <c r="X460" s="378"/>
      <c r="Y460" s="378"/>
      <c r="Z460" s="378"/>
    </row>
    <row r="461" spans="2:26" s="359" customFormat="1" ht="20.100000000000001" customHeight="1">
      <c r="B461" s="378"/>
      <c r="C461" s="378"/>
      <c r="D461" s="378"/>
      <c r="E461" s="378"/>
      <c r="F461" s="378"/>
      <c r="G461" s="378"/>
      <c r="H461" s="378"/>
      <c r="I461" s="378"/>
      <c r="J461" s="378"/>
      <c r="K461" s="378"/>
      <c r="L461" s="378"/>
      <c r="M461" s="378"/>
      <c r="N461" s="378"/>
      <c r="O461" s="378"/>
      <c r="P461" s="378"/>
      <c r="Q461" s="378"/>
      <c r="R461" s="378"/>
      <c r="S461" s="378"/>
      <c r="T461" s="378"/>
      <c r="U461" s="378"/>
      <c r="V461" s="378"/>
      <c r="W461" s="378"/>
      <c r="X461" s="378"/>
      <c r="Y461" s="378"/>
      <c r="Z461" s="378"/>
    </row>
    <row r="462" spans="2:26" s="359" customFormat="1" ht="20.100000000000001" customHeight="1">
      <c r="B462" s="378"/>
      <c r="C462" s="378"/>
      <c r="D462" s="378"/>
      <c r="E462" s="378"/>
      <c r="F462" s="378"/>
      <c r="G462" s="378"/>
      <c r="H462" s="378"/>
      <c r="I462" s="378"/>
      <c r="J462" s="378"/>
      <c r="K462" s="378"/>
      <c r="L462" s="378"/>
      <c r="M462" s="378"/>
      <c r="N462" s="378"/>
      <c r="O462" s="378"/>
      <c r="P462" s="378"/>
      <c r="Q462" s="378"/>
      <c r="R462" s="378"/>
      <c r="S462" s="378"/>
      <c r="T462" s="378"/>
      <c r="U462" s="378"/>
      <c r="V462" s="378"/>
      <c r="W462" s="378"/>
      <c r="X462" s="378"/>
      <c r="Y462" s="378"/>
      <c r="Z462" s="378"/>
    </row>
    <row r="463" spans="2:26" s="359" customFormat="1" ht="20.100000000000001" customHeight="1">
      <c r="B463" s="378"/>
      <c r="C463" s="378"/>
      <c r="D463" s="378"/>
      <c r="E463" s="378"/>
      <c r="F463" s="378"/>
      <c r="G463" s="378"/>
      <c r="H463" s="378"/>
      <c r="I463" s="378"/>
      <c r="J463" s="378"/>
      <c r="K463" s="378"/>
      <c r="L463" s="378"/>
      <c r="M463" s="378"/>
      <c r="N463" s="378"/>
      <c r="O463" s="378"/>
      <c r="P463" s="378"/>
      <c r="Q463" s="378"/>
      <c r="R463" s="378"/>
      <c r="S463" s="378"/>
      <c r="T463" s="378"/>
      <c r="U463" s="378"/>
      <c r="V463" s="378"/>
      <c r="W463" s="378"/>
      <c r="X463" s="378"/>
      <c r="Y463" s="378"/>
      <c r="Z463" s="378"/>
    </row>
    <row r="464" spans="2:26" s="359" customFormat="1" ht="20.100000000000001" customHeight="1">
      <c r="B464" s="378"/>
      <c r="C464" s="378"/>
      <c r="D464" s="378"/>
      <c r="E464" s="378"/>
      <c r="F464" s="378"/>
      <c r="G464" s="378"/>
      <c r="H464" s="378"/>
      <c r="I464" s="378"/>
      <c r="J464" s="378"/>
      <c r="K464" s="378"/>
      <c r="L464" s="378"/>
      <c r="M464" s="378"/>
      <c r="N464" s="378"/>
      <c r="O464" s="378"/>
      <c r="P464" s="378"/>
      <c r="Q464" s="378"/>
      <c r="R464" s="378"/>
      <c r="S464" s="378"/>
      <c r="T464" s="378"/>
      <c r="U464" s="378"/>
      <c r="V464" s="378"/>
      <c r="W464" s="378"/>
      <c r="X464" s="378"/>
      <c r="Y464" s="378"/>
      <c r="Z464" s="378"/>
    </row>
    <row r="465" spans="2:26" s="359" customFormat="1" ht="20.100000000000001" customHeight="1">
      <c r="B465" s="378"/>
      <c r="C465" s="378"/>
      <c r="D465" s="378"/>
      <c r="E465" s="378"/>
      <c r="F465" s="378"/>
      <c r="G465" s="378"/>
      <c r="H465" s="378"/>
      <c r="I465" s="378"/>
      <c r="J465" s="378"/>
      <c r="K465" s="378"/>
      <c r="L465" s="378"/>
      <c r="M465" s="378"/>
      <c r="N465" s="378"/>
      <c r="O465" s="378"/>
      <c r="P465" s="378"/>
      <c r="Q465" s="378"/>
      <c r="R465" s="378"/>
      <c r="S465" s="378"/>
      <c r="T465" s="378"/>
      <c r="U465" s="378"/>
      <c r="V465" s="378"/>
      <c r="W465" s="378"/>
      <c r="X465" s="378"/>
      <c r="Y465" s="378"/>
      <c r="Z465" s="378"/>
    </row>
    <row r="466" spans="2:26" s="359" customFormat="1" ht="20.100000000000001" customHeight="1">
      <c r="B466" s="378"/>
      <c r="C466" s="378"/>
      <c r="D466" s="378"/>
      <c r="E466" s="378"/>
      <c r="F466" s="378"/>
      <c r="G466" s="378"/>
      <c r="H466" s="378"/>
      <c r="I466" s="378"/>
      <c r="J466" s="378"/>
      <c r="K466" s="378"/>
      <c r="L466" s="378"/>
      <c r="M466" s="378"/>
      <c r="N466" s="378"/>
      <c r="O466" s="378"/>
      <c r="P466" s="378"/>
      <c r="Q466" s="378"/>
      <c r="R466" s="378"/>
      <c r="S466" s="378"/>
      <c r="T466" s="378"/>
      <c r="U466" s="378"/>
      <c r="V466" s="378"/>
      <c r="W466" s="378"/>
      <c r="X466" s="378"/>
      <c r="Y466" s="378"/>
      <c r="Z466" s="378"/>
    </row>
    <row r="467" spans="2:26" s="359" customFormat="1" ht="20.100000000000001" customHeight="1">
      <c r="B467" s="378"/>
      <c r="C467" s="378"/>
      <c r="D467" s="378"/>
      <c r="E467" s="378"/>
      <c r="F467" s="378"/>
      <c r="G467" s="378"/>
      <c r="H467" s="378"/>
      <c r="I467" s="378"/>
      <c r="J467" s="378"/>
      <c r="K467" s="378"/>
      <c r="L467" s="378"/>
      <c r="M467" s="378"/>
      <c r="N467" s="378"/>
      <c r="O467" s="378"/>
      <c r="P467" s="378"/>
      <c r="Q467" s="378"/>
      <c r="R467" s="378"/>
      <c r="S467" s="378"/>
      <c r="T467" s="378"/>
      <c r="U467" s="378"/>
      <c r="V467" s="378"/>
      <c r="W467" s="378"/>
      <c r="X467" s="378"/>
      <c r="Y467" s="378"/>
      <c r="Z467" s="378"/>
    </row>
    <row r="468" spans="2:26" s="359" customFormat="1" ht="20.100000000000001" customHeight="1">
      <c r="B468" s="378"/>
      <c r="C468" s="378"/>
      <c r="D468" s="378"/>
      <c r="E468" s="378"/>
      <c r="F468" s="378"/>
      <c r="G468" s="378"/>
      <c r="H468" s="378"/>
      <c r="I468" s="378"/>
      <c r="J468" s="378"/>
      <c r="K468" s="378"/>
      <c r="L468" s="378"/>
      <c r="M468" s="378"/>
      <c r="N468" s="378"/>
      <c r="O468" s="378"/>
      <c r="P468" s="378"/>
      <c r="Q468" s="378"/>
      <c r="R468" s="378"/>
      <c r="S468" s="378"/>
      <c r="T468" s="378"/>
      <c r="U468" s="378"/>
      <c r="V468" s="378"/>
      <c r="W468" s="378"/>
      <c r="X468" s="378"/>
      <c r="Y468" s="378"/>
      <c r="Z468" s="378"/>
    </row>
    <row r="469" spans="2:26" s="359" customFormat="1" ht="20.100000000000001" customHeight="1">
      <c r="B469" s="378"/>
      <c r="C469" s="378"/>
      <c r="D469" s="378"/>
      <c r="E469" s="378"/>
      <c r="F469" s="378"/>
      <c r="G469" s="378"/>
      <c r="H469" s="378"/>
      <c r="I469" s="378"/>
      <c r="J469" s="378"/>
      <c r="K469" s="378"/>
      <c r="L469" s="378"/>
      <c r="M469" s="378"/>
      <c r="N469" s="378"/>
      <c r="O469" s="378"/>
      <c r="P469" s="378"/>
      <c r="Q469" s="378"/>
      <c r="R469" s="378"/>
      <c r="S469" s="378"/>
      <c r="T469" s="378"/>
      <c r="U469" s="378"/>
      <c r="V469" s="378"/>
      <c r="W469" s="378"/>
      <c r="X469" s="378"/>
      <c r="Y469" s="378"/>
      <c r="Z469" s="378"/>
    </row>
    <row r="470" spans="2:26" s="359" customFormat="1" ht="20.100000000000001" customHeight="1">
      <c r="B470" s="378"/>
      <c r="C470" s="378"/>
      <c r="D470" s="378"/>
      <c r="E470" s="378"/>
      <c r="F470" s="378"/>
      <c r="G470" s="378"/>
      <c r="H470" s="378"/>
      <c r="I470" s="378"/>
      <c r="J470" s="378"/>
      <c r="K470" s="378"/>
      <c r="L470" s="378"/>
      <c r="M470" s="378"/>
      <c r="N470" s="378"/>
      <c r="O470" s="378"/>
      <c r="P470" s="378"/>
      <c r="Q470" s="378"/>
      <c r="R470" s="378"/>
      <c r="S470" s="378"/>
      <c r="T470" s="378"/>
      <c r="U470" s="378"/>
      <c r="V470" s="378"/>
      <c r="W470" s="378"/>
      <c r="X470" s="378"/>
      <c r="Y470" s="378"/>
      <c r="Z470" s="378"/>
    </row>
    <row r="471" spans="2:26" s="359" customFormat="1" ht="20.100000000000001" customHeight="1">
      <c r="B471" s="378"/>
      <c r="C471" s="378"/>
      <c r="D471" s="378"/>
      <c r="E471" s="378"/>
      <c r="F471" s="378"/>
      <c r="G471" s="378"/>
      <c r="H471" s="378"/>
      <c r="I471" s="378"/>
      <c r="J471" s="378"/>
      <c r="K471" s="378"/>
      <c r="L471" s="378"/>
      <c r="M471" s="378"/>
      <c r="N471" s="378"/>
      <c r="O471" s="378"/>
      <c r="P471" s="378"/>
      <c r="Q471" s="378"/>
      <c r="R471" s="378"/>
      <c r="S471" s="378"/>
      <c r="T471" s="378"/>
      <c r="U471" s="378"/>
      <c r="V471" s="378"/>
      <c r="W471" s="378"/>
      <c r="X471" s="378"/>
      <c r="Y471" s="378"/>
      <c r="Z471" s="378"/>
    </row>
    <row r="472" spans="2:26" s="359" customFormat="1" ht="20.100000000000001" customHeight="1">
      <c r="B472" s="378"/>
      <c r="C472" s="378"/>
      <c r="D472" s="378"/>
      <c r="E472" s="378"/>
      <c r="F472" s="378"/>
      <c r="G472" s="378"/>
      <c r="H472" s="378"/>
      <c r="I472" s="378"/>
      <c r="J472" s="378"/>
      <c r="K472" s="378"/>
      <c r="L472" s="378"/>
      <c r="M472" s="378"/>
      <c r="N472" s="378"/>
      <c r="O472" s="378"/>
      <c r="P472" s="378"/>
      <c r="Q472" s="378"/>
      <c r="R472" s="378"/>
      <c r="S472" s="378"/>
      <c r="T472" s="378"/>
      <c r="U472" s="378"/>
      <c r="V472" s="378"/>
      <c r="W472" s="378"/>
      <c r="X472" s="378"/>
      <c r="Y472" s="378"/>
      <c r="Z472" s="378"/>
    </row>
    <row r="473" spans="2:26" s="359" customFormat="1" ht="20.100000000000001" customHeight="1">
      <c r="B473" s="378"/>
      <c r="C473" s="378"/>
      <c r="D473" s="378"/>
      <c r="E473" s="378"/>
      <c r="F473" s="378"/>
      <c r="G473" s="378"/>
      <c r="H473" s="378"/>
      <c r="I473" s="378"/>
      <c r="J473" s="378"/>
      <c r="K473" s="378"/>
      <c r="L473" s="378"/>
      <c r="M473" s="378"/>
      <c r="N473" s="378"/>
      <c r="O473" s="378"/>
      <c r="P473" s="378"/>
      <c r="Q473" s="378"/>
      <c r="R473" s="378"/>
      <c r="S473" s="378"/>
      <c r="T473" s="378"/>
      <c r="U473" s="378"/>
      <c r="V473" s="378"/>
      <c r="W473" s="378"/>
      <c r="X473" s="378"/>
      <c r="Y473" s="378"/>
      <c r="Z473" s="378"/>
    </row>
    <row r="474" spans="2:26" s="359" customFormat="1" ht="20.100000000000001" customHeight="1">
      <c r="B474" s="378"/>
      <c r="C474" s="378"/>
      <c r="D474" s="378"/>
      <c r="E474" s="378"/>
      <c r="F474" s="378"/>
      <c r="G474" s="378"/>
      <c r="H474" s="378"/>
      <c r="I474" s="378"/>
      <c r="J474" s="378"/>
      <c r="K474" s="378"/>
      <c r="L474" s="378"/>
      <c r="M474" s="378"/>
      <c r="N474" s="378"/>
      <c r="O474" s="378"/>
      <c r="P474" s="378"/>
      <c r="Q474" s="378"/>
      <c r="R474" s="378"/>
      <c r="S474" s="378"/>
      <c r="T474" s="378"/>
      <c r="U474" s="378"/>
      <c r="V474" s="378"/>
      <c r="W474" s="378"/>
      <c r="X474" s="378"/>
      <c r="Y474" s="378"/>
      <c r="Z474" s="378"/>
    </row>
    <row r="475" spans="2:26" ht="20.100000000000001" customHeight="1"/>
    <row r="476" spans="2:26" ht="10.15" customHeight="1"/>
  </sheetData>
  <sheetProtection formatCells="0" formatColumns="0" formatRows="0" insertColumns="0" insertRows="0" insertHyperlinks="0" deleteColumns="0" deleteRows="0" sort="0" autoFilter="0" pivotTables="0"/>
  <mergeCells count="22">
    <mergeCell ref="A60:B60"/>
    <mergeCell ref="A13:B15"/>
    <mergeCell ref="C13:C17"/>
    <mergeCell ref="D13:D17"/>
    <mergeCell ref="E13:M14"/>
    <mergeCell ref="O13:Z13"/>
    <mergeCell ref="O14:T14"/>
    <mergeCell ref="U14:Z14"/>
    <mergeCell ref="A17:A18"/>
    <mergeCell ref="B17:B18"/>
    <mergeCell ref="A12:Z12"/>
    <mergeCell ref="Y1:Z1"/>
    <mergeCell ref="A2:Z2"/>
    <mergeCell ref="A3:Z3"/>
    <mergeCell ref="A4:Z4"/>
    <mergeCell ref="A5:Z5"/>
    <mergeCell ref="A6:Z6"/>
    <mergeCell ref="A7:Z7"/>
    <mergeCell ref="A8:Z8"/>
    <mergeCell ref="C9:Z9"/>
    <mergeCell ref="Y10:Z10"/>
    <mergeCell ref="A11:Z11"/>
  </mergeCells>
  <conditionalFormatting sqref="A17:B17">
    <cfRule type="cellIs" dxfId="12" priority="44" operator="equal">
      <formula>0</formula>
    </cfRule>
  </conditionalFormatting>
  <conditionalFormatting sqref="B20:Z59">
    <cfRule type="cellIs" dxfId="11" priority="2" operator="equal">
      <formula>0</formula>
    </cfRule>
  </conditionalFormatting>
  <conditionalFormatting sqref="C18:D18">
    <cfRule type="cellIs" dxfId="10" priority="41" operator="equal">
      <formula>0</formula>
    </cfRule>
  </conditionalFormatting>
  <conditionalFormatting sqref="E17:Z18">
    <cfRule type="cellIs" dxfId="9" priority="24" operator="equal">
      <formula>0</formula>
    </cfRule>
  </conditionalFormatting>
  <conditionalFormatting sqref="T16">
    <cfRule type="cellIs" dxfId="8" priority="1" operator="equal">
      <formula>0</formula>
    </cfRule>
  </conditionalFormatting>
  <pageMargins left="0.511811024" right="0.511811024" top="0.78740157499999996" bottom="0.78740157499999996" header="0.31496062000000002" footer="0.31496062000000002"/>
  <pageSetup paperSize="9" scale="1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O43"/>
  <sheetViews>
    <sheetView view="pageBreakPreview" topLeftCell="A28" zoomScaleNormal="100" zoomScaleSheetLayoutView="100" workbookViewId="0">
      <selection activeCell="C17" sqref="C17"/>
    </sheetView>
  </sheetViews>
  <sheetFormatPr defaultColWidth="9.28515625" defaultRowHeight="14.25"/>
  <cols>
    <col min="1" max="2" width="10.7109375" style="235" customWidth="1"/>
    <col min="3" max="3" width="40.7109375" style="235" customWidth="1"/>
    <col min="4" max="4" width="10.7109375" style="235" customWidth="1"/>
    <col min="5" max="7" width="14.7109375" style="235" customWidth="1"/>
    <col min="8" max="16384" width="9.28515625" style="235"/>
  </cols>
  <sheetData>
    <row r="1" spans="1:15" s="232" customFormat="1" ht="15" customHeight="1">
      <c r="A1" s="2380"/>
      <c r="B1" s="2381"/>
      <c r="C1" s="2381"/>
      <c r="D1" s="2381"/>
      <c r="E1" s="2381"/>
      <c r="F1" s="2381"/>
      <c r="G1" s="2382"/>
    </row>
    <row r="2" spans="1:15" s="232" customFormat="1" ht="45.75" customHeight="1">
      <c r="A2" s="2355"/>
      <c r="B2" s="2356"/>
      <c r="C2" s="2356"/>
      <c r="D2" s="2356"/>
      <c r="E2" s="2356"/>
      <c r="F2" s="2356"/>
      <c r="G2" s="2357"/>
    </row>
    <row r="3" spans="1:15" s="232" customFormat="1" ht="15" customHeight="1">
      <c r="A3" s="2352" t="s">
        <v>18</v>
      </c>
      <c r="B3" s="2353"/>
      <c r="C3" s="2353"/>
      <c r="D3" s="2353"/>
      <c r="E3" s="2353"/>
      <c r="F3" s="2353"/>
      <c r="G3" s="2354"/>
    </row>
    <row r="4" spans="1:15" s="232" customFormat="1" ht="15" customHeight="1">
      <c r="A4" s="2355" t="s">
        <v>187</v>
      </c>
      <c r="B4" s="2356"/>
      <c r="C4" s="2356"/>
      <c r="D4" s="2356"/>
      <c r="E4" s="2356"/>
      <c r="F4" s="2356"/>
      <c r="G4" s="2357"/>
    </row>
    <row r="5" spans="1:15" s="232" customFormat="1" ht="15" customHeight="1">
      <c r="A5" s="2355" t="s">
        <v>17</v>
      </c>
      <c r="B5" s="2356"/>
      <c r="C5" s="2356"/>
      <c r="D5" s="2356"/>
      <c r="E5" s="2356"/>
      <c r="F5" s="2356"/>
      <c r="G5" s="2357"/>
    </row>
    <row r="6" spans="1:15" s="232" customFormat="1" ht="15" customHeight="1">
      <c r="A6" s="543"/>
      <c r="B6" s="550"/>
      <c r="C6" s="550"/>
      <c r="D6" s="550"/>
      <c r="E6" s="550"/>
      <c r="F6" s="550"/>
      <c r="G6" s="544"/>
    </row>
    <row r="7" spans="1:15" s="234" customFormat="1" ht="30.75" customHeight="1">
      <c r="A7" s="551" t="s">
        <v>700</v>
      </c>
      <c r="B7" s="2358" t="str">
        <f>'PLANILHA GERAL'!D9</f>
        <v>OBRAS DE PREVENÇÕES DE ALAGAMENTOS E CHEIAS, INFRAESTRUTURA URBANA E CONSTRUÇÕES DIVERSAS NO MUNICÍPIO DE ANANINDEUA/PA</v>
      </c>
      <c r="C7" s="2359"/>
      <c r="D7" s="2359"/>
      <c r="E7" s="2359"/>
      <c r="F7" s="2359"/>
      <c r="G7" s="2360"/>
    </row>
    <row r="8" spans="1:15" s="232" customFormat="1" ht="15" customHeight="1" thickBot="1">
      <c r="A8" s="233"/>
      <c r="B8" s="2361"/>
      <c r="C8" s="2361"/>
      <c r="D8" s="2361"/>
      <c r="E8" s="2361"/>
      <c r="F8" s="2361"/>
      <c r="G8" s="2362"/>
    </row>
    <row r="9" spans="1:15" s="234" customFormat="1" ht="24" customHeight="1" thickTop="1">
      <c r="A9" s="545" t="s">
        <v>185</v>
      </c>
      <c r="B9" s="547" t="s">
        <v>701</v>
      </c>
      <c r="C9" s="2349" t="s">
        <v>702</v>
      </c>
      <c r="D9" s="2350"/>
      <c r="E9" s="2350"/>
      <c r="F9" s="2351"/>
      <c r="G9" s="312" t="s">
        <v>566</v>
      </c>
    </row>
    <row r="10" spans="1:15" s="234" customFormat="1" ht="15" thickBot="1">
      <c r="A10" s="546" t="str">
        <f>'PLANILHA GERAL'!E143</f>
        <v>VI</v>
      </c>
      <c r="B10" s="552">
        <v>96401</v>
      </c>
      <c r="C10" s="2400" t="str">
        <f>'PLANILHA GERAL'!F143</f>
        <v>Execução de Imprimação com asfálto diluído CM-30. AF_11/2019</v>
      </c>
      <c r="D10" s="2401"/>
      <c r="E10" s="2401"/>
      <c r="F10" s="2402"/>
      <c r="G10" s="155" t="str">
        <f>'PLANILHA GERAL'!H143</f>
        <v>m²</v>
      </c>
    </row>
    <row r="11" spans="1:15" s="234" customFormat="1" ht="12.75" customHeight="1" thickTop="1">
      <c r="A11" s="2363"/>
      <c r="B11" s="2364"/>
      <c r="C11" s="2364"/>
      <c r="D11" s="2364"/>
      <c r="E11" s="2364"/>
      <c r="F11" s="2364"/>
      <c r="G11" s="2365"/>
    </row>
    <row r="12" spans="1:15" s="171" customFormat="1" ht="20.100000000000001" customHeight="1">
      <c r="A12" s="241" t="s">
        <v>35</v>
      </c>
      <c r="B12" s="242" t="s">
        <v>263</v>
      </c>
      <c r="C12" s="243" t="s">
        <v>699</v>
      </c>
      <c r="D12" s="242" t="s">
        <v>37</v>
      </c>
      <c r="E12" s="243" t="s">
        <v>151</v>
      </c>
      <c r="F12" s="244" t="s">
        <v>38</v>
      </c>
      <c r="G12" s="245" t="s">
        <v>703</v>
      </c>
      <c r="H12" s="165"/>
    </row>
    <row r="13" spans="1:15" s="234" customFormat="1" ht="20.100000000000001" customHeight="1">
      <c r="A13" s="2366" t="s">
        <v>34</v>
      </c>
      <c r="B13" s="2367"/>
      <c r="C13" s="2367"/>
      <c r="D13" s="2367"/>
      <c r="E13" s="2367"/>
      <c r="F13" s="2367"/>
      <c r="G13" s="2368"/>
    </row>
    <row r="14" spans="1:15" s="234" customFormat="1" ht="23.25" customHeight="1">
      <c r="A14" s="553">
        <v>1</v>
      </c>
      <c r="B14" s="238" t="s">
        <v>42</v>
      </c>
      <c r="C14" s="554" t="s">
        <v>163</v>
      </c>
      <c r="D14" s="462" t="s">
        <v>229</v>
      </c>
      <c r="E14" s="572">
        <v>5.7999999999999996E-3</v>
      </c>
      <c r="F14" s="555">
        <f>'CPU - 5'!F14</f>
        <v>19.940000000000001</v>
      </c>
      <c r="G14" s="556">
        <f>E14*F14</f>
        <v>0.12</v>
      </c>
    </row>
    <row r="15" spans="1:15" s="234" customFormat="1" ht="20.100000000000001" customHeight="1">
      <c r="A15" s="2369" t="s">
        <v>563</v>
      </c>
      <c r="B15" s="2370"/>
      <c r="C15" s="2370"/>
      <c r="D15" s="2370"/>
      <c r="E15" s="2370"/>
      <c r="F15" s="2370"/>
      <c r="G15" s="557">
        <f>SUM(G14:G14)</f>
        <v>0.12</v>
      </c>
    </row>
    <row r="16" spans="1:15" s="234" customFormat="1" ht="20.100000000000001" customHeight="1">
      <c r="A16" s="2371" t="s">
        <v>44</v>
      </c>
      <c r="B16" s="2372"/>
      <c r="C16" s="2372"/>
      <c r="D16" s="2372"/>
      <c r="E16" s="2372"/>
      <c r="F16" s="2372"/>
      <c r="G16" s="2373"/>
      <c r="I16" s="576" t="s">
        <v>14</v>
      </c>
      <c r="J16" s="576">
        <v>5839</v>
      </c>
      <c r="K16" s="577" t="s">
        <v>254</v>
      </c>
      <c r="L16" s="576" t="s">
        <v>174</v>
      </c>
      <c r="M16" s="576">
        <v>2E-3</v>
      </c>
      <c r="N16" s="576">
        <v>0.01</v>
      </c>
      <c r="O16" s="576">
        <v>0.01</v>
      </c>
    </row>
    <row r="17" spans="1:15" s="234" customFormat="1" ht="36">
      <c r="A17" s="553">
        <v>1</v>
      </c>
      <c r="B17" s="1431">
        <v>5839</v>
      </c>
      <c r="C17" s="559" t="s">
        <v>716</v>
      </c>
      <c r="D17" s="560" t="s">
        <v>174</v>
      </c>
      <c r="E17" s="561" t="s">
        <v>289</v>
      </c>
      <c r="F17" s="562">
        <v>9.31</v>
      </c>
      <c r="G17" s="556">
        <f t="shared" ref="G17:G22" si="0">E17*F17</f>
        <v>0.02</v>
      </c>
      <c r="I17" s="576" t="s">
        <v>14</v>
      </c>
      <c r="J17" s="576">
        <v>5841</v>
      </c>
      <c r="K17" s="577" t="s">
        <v>255</v>
      </c>
      <c r="L17" s="576" t="s">
        <v>176</v>
      </c>
      <c r="M17" s="576">
        <v>4.0000000000000001E-3</v>
      </c>
      <c r="N17" s="576">
        <v>0.01</v>
      </c>
      <c r="O17" s="576">
        <v>0.01</v>
      </c>
    </row>
    <row r="18" spans="1:15" s="234" customFormat="1" ht="36">
      <c r="A18" s="553">
        <v>2</v>
      </c>
      <c r="B18" s="1431" t="s">
        <v>290</v>
      </c>
      <c r="C18" s="559" t="s">
        <v>717</v>
      </c>
      <c r="D18" s="560" t="s">
        <v>176</v>
      </c>
      <c r="E18" s="561" t="s">
        <v>291</v>
      </c>
      <c r="F18" s="562">
        <v>4.68</v>
      </c>
      <c r="G18" s="556">
        <f t="shared" si="0"/>
        <v>0.02</v>
      </c>
      <c r="I18" s="576" t="s">
        <v>14</v>
      </c>
      <c r="J18" s="576">
        <v>83362</v>
      </c>
      <c r="K18" s="577" t="s">
        <v>582</v>
      </c>
      <c r="L18" s="576" t="s">
        <v>174</v>
      </c>
      <c r="M18" s="576">
        <v>1E-3</v>
      </c>
      <c r="N18" s="576">
        <v>0.21</v>
      </c>
      <c r="O18" s="576">
        <v>0.2</v>
      </c>
    </row>
    <row r="19" spans="1:15" s="234" customFormat="1" ht="22.5" customHeight="1">
      <c r="A19" s="553">
        <v>3</v>
      </c>
      <c r="B19" s="1431">
        <v>83362</v>
      </c>
      <c r="C19" s="559" t="s">
        <v>718</v>
      </c>
      <c r="D19" s="560" t="s">
        <v>174</v>
      </c>
      <c r="E19" s="561" t="s">
        <v>292</v>
      </c>
      <c r="F19" s="562">
        <v>273.48</v>
      </c>
      <c r="G19" s="556">
        <f t="shared" si="0"/>
        <v>0.27</v>
      </c>
      <c r="I19" s="576" t="s">
        <v>14</v>
      </c>
      <c r="J19" s="576">
        <v>88316</v>
      </c>
      <c r="K19" s="577" t="s">
        <v>189</v>
      </c>
      <c r="L19" s="576" t="s">
        <v>229</v>
      </c>
      <c r="M19" s="576">
        <v>5.7999999999999996E-3</v>
      </c>
      <c r="N19" s="576">
        <v>0.09</v>
      </c>
      <c r="O19" s="576">
        <v>0.08</v>
      </c>
    </row>
    <row r="20" spans="1:15" s="234" customFormat="1" ht="24">
      <c r="A20" s="553">
        <v>4</v>
      </c>
      <c r="B20" s="1431" t="s">
        <v>293</v>
      </c>
      <c r="C20" s="559" t="s">
        <v>713</v>
      </c>
      <c r="D20" s="560" t="s">
        <v>174</v>
      </c>
      <c r="E20" s="561" t="s">
        <v>294</v>
      </c>
      <c r="F20" s="562">
        <v>124.44</v>
      </c>
      <c r="G20" s="556">
        <f t="shared" si="0"/>
        <v>0.21</v>
      </c>
      <c r="I20" s="576" t="s">
        <v>14</v>
      </c>
      <c r="J20" s="576">
        <v>89035</v>
      </c>
      <c r="K20" s="577" t="s">
        <v>256</v>
      </c>
      <c r="L20" s="576" t="s">
        <v>174</v>
      </c>
      <c r="M20" s="576">
        <v>1.6999999999999999E-3</v>
      </c>
      <c r="N20" s="576">
        <v>0.21</v>
      </c>
      <c r="O20" s="576">
        <v>0.21</v>
      </c>
    </row>
    <row r="21" spans="1:15" s="234" customFormat="1" ht="24">
      <c r="A21" s="553">
        <v>5</v>
      </c>
      <c r="B21" s="1431" t="s">
        <v>295</v>
      </c>
      <c r="C21" s="559" t="s">
        <v>714</v>
      </c>
      <c r="D21" s="560" t="s">
        <v>176</v>
      </c>
      <c r="E21" s="561" t="s">
        <v>296</v>
      </c>
      <c r="F21" s="562">
        <v>41.3</v>
      </c>
      <c r="G21" s="556">
        <f t="shared" si="0"/>
        <v>0.17</v>
      </c>
      <c r="I21" s="576" t="s">
        <v>14</v>
      </c>
      <c r="J21" s="576">
        <v>89036</v>
      </c>
      <c r="K21" s="577" t="s">
        <v>257</v>
      </c>
      <c r="L21" s="576" t="s">
        <v>176</v>
      </c>
      <c r="M21" s="576">
        <v>4.1000000000000003E-3</v>
      </c>
      <c r="N21" s="576">
        <v>0.12</v>
      </c>
      <c r="O21" s="576">
        <v>0.11</v>
      </c>
    </row>
    <row r="22" spans="1:15" s="234" customFormat="1" ht="60">
      <c r="A22" s="553">
        <v>6</v>
      </c>
      <c r="B22" s="1431">
        <v>91486</v>
      </c>
      <c r="C22" s="559" t="s">
        <v>719</v>
      </c>
      <c r="D22" s="560" t="s">
        <v>176</v>
      </c>
      <c r="E22" s="561" t="s">
        <v>297</v>
      </c>
      <c r="F22" s="562">
        <v>64.45</v>
      </c>
      <c r="G22" s="556">
        <f t="shared" si="0"/>
        <v>0.32</v>
      </c>
      <c r="I22" s="576" t="s">
        <v>14</v>
      </c>
      <c r="J22" s="576">
        <v>91486</v>
      </c>
      <c r="K22" s="577" t="s">
        <v>583</v>
      </c>
      <c r="L22" s="576" t="s">
        <v>176</v>
      </c>
      <c r="M22" s="576">
        <v>4.8999999999999998E-3</v>
      </c>
      <c r="N22" s="576">
        <v>0.19</v>
      </c>
      <c r="O22" s="576">
        <v>0.18</v>
      </c>
    </row>
    <row r="23" spans="1:15" s="234" customFormat="1" ht="20.100000000000001" customHeight="1">
      <c r="A23" s="2369" t="s">
        <v>564</v>
      </c>
      <c r="B23" s="2370"/>
      <c r="C23" s="2370"/>
      <c r="D23" s="2370"/>
      <c r="E23" s="2370"/>
      <c r="F23" s="2370"/>
      <c r="G23" s="557">
        <f>SUM(G17:G22)</f>
        <v>1.01</v>
      </c>
      <c r="I23" s="576" t="s">
        <v>355</v>
      </c>
      <c r="J23" s="576">
        <v>41901</v>
      </c>
      <c r="K23" s="577" t="s">
        <v>721</v>
      </c>
      <c r="L23" s="576" t="s">
        <v>282</v>
      </c>
      <c r="M23" s="576">
        <v>1.2</v>
      </c>
      <c r="N23" s="576">
        <v>6</v>
      </c>
      <c r="O23" s="576"/>
    </row>
    <row r="24" spans="1:15" s="234" customFormat="1" ht="20.100000000000001" customHeight="1">
      <c r="A24" s="2390" t="s">
        <v>46</v>
      </c>
      <c r="B24" s="2391"/>
      <c r="C24" s="2391"/>
      <c r="D24" s="2391"/>
      <c r="E24" s="2391"/>
      <c r="F24" s="2391"/>
      <c r="G24" s="2392"/>
    </row>
    <row r="25" spans="1:15" s="234" customFormat="1" ht="20.100000000000001" customHeight="1">
      <c r="A25" s="553">
        <v>1</v>
      </c>
      <c r="B25" s="558" t="s">
        <v>287</v>
      </c>
      <c r="C25" s="563" t="s">
        <v>288</v>
      </c>
      <c r="D25" s="560" t="s">
        <v>282</v>
      </c>
      <c r="E25" s="564">
        <v>1.2</v>
      </c>
      <c r="F25" s="562">
        <f>G41</f>
        <v>7.87</v>
      </c>
      <c r="G25" s="556">
        <f>E25*F25</f>
        <v>9.44</v>
      </c>
    </row>
    <row r="26" spans="1:15" s="234" customFormat="1" ht="20.100000000000001" customHeight="1">
      <c r="A26" s="2369" t="s">
        <v>565</v>
      </c>
      <c r="B26" s="2370"/>
      <c r="C26" s="2370"/>
      <c r="D26" s="2370"/>
      <c r="E26" s="2370"/>
      <c r="F26" s="2370"/>
      <c r="G26" s="557">
        <f>SUM(G25:G25)</f>
        <v>9.44</v>
      </c>
    </row>
    <row r="27" spans="1:15" s="171" customFormat="1" ht="20.100000000000001" customHeight="1">
      <c r="A27" s="2393" t="s">
        <v>48</v>
      </c>
      <c r="B27" s="2394"/>
      <c r="C27" s="2394"/>
      <c r="D27" s="2394"/>
      <c r="E27" s="2394"/>
      <c r="F27" s="2394"/>
      <c r="G27" s="2395"/>
      <c r="H27" s="165"/>
    </row>
    <row r="28" spans="1:15" s="171" customFormat="1" ht="20.100000000000001" customHeight="1">
      <c r="A28" s="156" t="s">
        <v>35</v>
      </c>
      <c r="B28" s="157"/>
      <c r="C28" s="157" t="s">
        <v>49</v>
      </c>
      <c r="D28" s="2396" t="s">
        <v>704</v>
      </c>
      <c r="E28" s="2397"/>
      <c r="F28" s="2397"/>
      <c r="G28" s="2398"/>
      <c r="H28" s="165"/>
    </row>
    <row r="29" spans="1:15" s="171" customFormat="1" ht="20.100000000000001" customHeight="1">
      <c r="A29" s="156" t="s">
        <v>50</v>
      </c>
      <c r="B29" s="157"/>
      <c r="C29" s="157" t="s">
        <v>51</v>
      </c>
      <c r="D29" s="2383" t="s">
        <v>52</v>
      </c>
      <c r="E29" s="2383"/>
      <c r="F29" s="2383"/>
      <c r="G29" s="158">
        <f>G15</f>
        <v>0.12</v>
      </c>
      <c r="H29" s="165"/>
    </row>
    <row r="30" spans="1:15" s="171" customFormat="1" ht="20.100000000000001" customHeight="1">
      <c r="A30" s="156" t="s">
        <v>53</v>
      </c>
      <c r="B30" s="157"/>
      <c r="C30" s="157" t="s">
        <v>54</v>
      </c>
      <c r="D30" s="2383" t="s">
        <v>55</v>
      </c>
      <c r="E30" s="2383"/>
      <c r="F30" s="2383"/>
      <c r="G30" s="158">
        <f>G23</f>
        <v>1.01</v>
      </c>
      <c r="H30" s="165"/>
    </row>
    <row r="31" spans="1:15" s="171" customFormat="1" ht="20.100000000000001" customHeight="1">
      <c r="A31" s="156" t="s">
        <v>14</v>
      </c>
      <c r="B31" s="157"/>
      <c r="C31" s="157" t="s">
        <v>56</v>
      </c>
      <c r="D31" s="2383" t="s">
        <v>57</v>
      </c>
      <c r="E31" s="2383"/>
      <c r="F31" s="2383"/>
      <c r="G31" s="158">
        <f>G26</f>
        <v>9.44</v>
      </c>
      <c r="H31" s="165"/>
    </row>
    <row r="32" spans="1:15" s="171" customFormat="1" ht="20.100000000000001" customHeight="1">
      <c r="A32" s="156" t="s">
        <v>7</v>
      </c>
      <c r="B32" s="157"/>
      <c r="C32" s="565" t="s">
        <v>58</v>
      </c>
      <c r="D32" s="2384" t="s">
        <v>59</v>
      </c>
      <c r="E32" s="2384"/>
      <c r="F32" s="2384"/>
      <c r="G32" s="566">
        <f>G29+G30+G31</f>
        <v>10.57</v>
      </c>
      <c r="H32" s="165"/>
    </row>
    <row r="33" spans="1:8" s="171" customFormat="1" ht="20.100000000000001" customHeight="1">
      <c r="A33" s="156"/>
      <c r="B33" s="157"/>
      <c r="C33" s="565"/>
      <c r="D33" s="2385" t="s">
        <v>198</v>
      </c>
      <c r="E33" s="2386"/>
      <c r="F33" s="567">
        <v>0.27460000000000001</v>
      </c>
      <c r="G33" s="159">
        <f>G32*F33</f>
        <v>2.9</v>
      </c>
      <c r="H33" s="165"/>
    </row>
    <row r="34" spans="1:8" s="171" customFormat="1" ht="20.100000000000001" customHeight="1" thickBot="1">
      <c r="A34" s="2387" t="s">
        <v>61</v>
      </c>
      <c r="B34" s="2388"/>
      <c r="C34" s="2388"/>
      <c r="D34" s="2388"/>
      <c r="E34" s="2388"/>
      <c r="F34" s="2389"/>
      <c r="G34" s="160">
        <f>G32+G33</f>
        <v>13.47</v>
      </c>
      <c r="H34" s="165"/>
    </row>
    <row r="35" spans="1:8" s="234" customFormat="1" ht="20.100000000000001" customHeight="1">
      <c r="A35" s="568"/>
      <c r="B35" s="569"/>
      <c r="C35" s="569"/>
      <c r="D35" s="570"/>
      <c r="E35" s="569"/>
      <c r="F35" s="569"/>
      <c r="G35" s="571"/>
    </row>
    <row r="36" spans="1:8" ht="20.100000000000001" customHeight="1">
      <c r="A36" s="2422" t="s">
        <v>586</v>
      </c>
      <c r="B36" s="2422"/>
      <c r="C36" s="2422"/>
      <c r="D36" s="2422"/>
      <c r="E36" s="2422"/>
      <c r="F36" s="2422"/>
      <c r="G36" s="2422"/>
    </row>
    <row r="37" spans="1:8" ht="20.100000000000001" customHeight="1">
      <c r="A37" s="2426" t="s">
        <v>585</v>
      </c>
      <c r="B37" s="2427"/>
      <c r="C37" s="237" t="s">
        <v>183</v>
      </c>
      <c r="D37" s="238" t="s">
        <v>148</v>
      </c>
      <c r="E37" s="238" t="s">
        <v>462</v>
      </c>
      <c r="F37" s="238" t="s">
        <v>463</v>
      </c>
      <c r="G37" s="460" t="s">
        <v>298</v>
      </c>
    </row>
    <row r="38" spans="1:8" ht="20.100000000000001" customHeight="1">
      <c r="A38" s="2423">
        <v>44944</v>
      </c>
      <c r="B38" s="2424"/>
      <c r="C38" s="461" t="s">
        <v>584</v>
      </c>
      <c r="D38" s="462">
        <v>1</v>
      </c>
      <c r="E38" s="462" t="s">
        <v>436</v>
      </c>
      <c r="F38" s="463">
        <v>5300</v>
      </c>
      <c r="G38" s="463">
        <f>F38/1000</f>
        <v>5.3</v>
      </c>
    </row>
    <row r="39" spans="1:8" ht="20.100000000000001" customHeight="1">
      <c r="A39" s="2423">
        <v>44945</v>
      </c>
      <c r="B39" s="2424"/>
      <c r="C39" s="461" t="s">
        <v>587</v>
      </c>
      <c r="D39" s="462">
        <v>1</v>
      </c>
      <c r="E39" s="462" t="s">
        <v>436</v>
      </c>
      <c r="F39" s="463">
        <v>10500</v>
      </c>
      <c r="G39" s="463">
        <f>F39/1000</f>
        <v>10.5</v>
      </c>
    </row>
    <row r="40" spans="1:8" ht="20.100000000000001" customHeight="1">
      <c r="A40" s="2423">
        <v>44949</v>
      </c>
      <c r="B40" s="2424"/>
      <c r="C40" s="461" t="s">
        <v>588</v>
      </c>
      <c r="D40" s="462">
        <v>1</v>
      </c>
      <c r="E40" s="462" t="s">
        <v>436</v>
      </c>
      <c r="F40" s="463">
        <v>7810</v>
      </c>
      <c r="G40" s="463">
        <f>F40/1000</f>
        <v>7.81</v>
      </c>
    </row>
    <row r="41" spans="1:8" ht="20.100000000000001" customHeight="1">
      <c r="A41" s="2425" t="s">
        <v>464</v>
      </c>
      <c r="B41" s="2425"/>
      <c r="C41" s="2425"/>
      <c r="D41" s="2425"/>
      <c r="E41" s="2425"/>
      <c r="F41" s="2425"/>
      <c r="G41" s="464">
        <f>(G38+G39+G40)/3</f>
        <v>7.87</v>
      </c>
    </row>
    <row r="42" spans="1:8" ht="20.100000000000001" customHeight="1"/>
    <row r="43" spans="1:8" ht="20.100000000000001" customHeight="1"/>
  </sheetData>
  <mergeCells count="29">
    <mergeCell ref="A40:B40"/>
    <mergeCell ref="A41:F41"/>
    <mergeCell ref="A37:B37"/>
    <mergeCell ref="A38:B38"/>
    <mergeCell ref="A39:B39"/>
    <mergeCell ref="A36:G36"/>
    <mergeCell ref="A23:F23"/>
    <mergeCell ref="A24:G24"/>
    <mergeCell ref="A26:F26"/>
    <mergeCell ref="A27:G27"/>
    <mergeCell ref="D28:G28"/>
    <mergeCell ref="D29:F29"/>
    <mergeCell ref="D30:F30"/>
    <mergeCell ref="D31:F31"/>
    <mergeCell ref="D32:F32"/>
    <mergeCell ref="D33:E33"/>
    <mergeCell ref="A34:F34"/>
    <mergeCell ref="A16:G16"/>
    <mergeCell ref="A1:G2"/>
    <mergeCell ref="A3:G3"/>
    <mergeCell ref="A4:G4"/>
    <mergeCell ref="A5:G5"/>
    <mergeCell ref="B7:G7"/>
    <mergeCell ref="B8:G8"/>
    <mergeCell ref="C9:F9"/>
    <mergeCell ref="C10:F10"/>
    <mergeCell ref="A11:G11"/>
    <mergeCell ref="A13:G13"/>
    <mergeCell ref="A15:F15"/>
  </mergeCells>
  <printOptions horizontalCentered="1"/>
  <pageMargins left="0.51181102362204722" right="0.51181102362204722" top="0.78740157480314965" bottom="0.78740157480314965" header="0.31496062992125984" footer="0.31496062992125984"/>
  <pageSetup paperSize="9" scale="7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A1:H43"/>
  <sheetViews>
    <sheetView view="pageBreakPreview" topLeftCell="A22" zoomScale="85" zoomScaleNormal="100" zoomScaleSheetLayoutView="85" workbookViewId="0">
      <selection activeCell="C17" sqref="C17"/>
    </sheetView>
  </sheetViews>
  <sheetFormatPr defaultColWidth="9.28515625" defaultRowHeight="14.25"/>
  <cols>
    <col min="1" max="2" width="10.7109375" style="235" customWidth="1"/>
    <col min="3" max="3" width="40.7109375" style="235" customWidth="1"/>
    <col min="4" max="4" width="10.7109375" style="235" customWidth="1"/>
    <col min="5" max="7" width="14.7109375" style="235" customWidth="1"/>
    <col min="8" max="16384" width="9.28515625" style="235"/>
  </cols>
  <sheetData>
    <row r="1" spans="1:8" s="232" customFormat="1" ht="15" customHeight="1">
      <c r="A1" s="2380"/>
      <c r="B1" s="2381"/>
      <c r="C1" s="2381"/>
      <c r="D1" s="2381"/>
      <c r="E1" s="2381"/>
      <c r="F1" s="2381"/>
      <c r="G1" s="2382"/>
    </row>
    <row r="2" spans="1:8" s="232" customFormat="1" ht="45.75" customHeight="1">
      <c r="A2" s="2355"/>
      <c r="B2" s="2356"/>
      <c r="C2" s="2356"/>
      <c r="D2" s="2356"/>
      <c r="E2" s="2356"/>
      <c r="F2" s="2356"/>
      <c r="G2" s="2357"/>
    </row>
    <row r="3" spans="1:8" s="232" customFormat="1" ht="15" customHeight="1">
      <c r="A3" s="2352" t="s">
        <v>18</v>
      </c>
      <c r="B3" s="2353"/>
      <c r="C3" s="2353"/>
      <c r="D3" s="2353"/>
      <c r="E3" s="2353"/>
      <c r="F3" s="2353"/>
      <c r="G3" s="2354"/>
    </row>
    <row r="4" spans="1:8" s="232" customFormat="1" ht="15" customHeight="1">
      <c r="A4" s="2355" t="s">
        <v>187</v>
      </c>
      <c r="B4" s="2356"/>
      <c r="C4" s="2356"/>
      <c r="D4" s="2356"/>
      <c r="E4" s="2356"/>
      <c r="F4" s="2356"/>
      <c r="G4" s="2357"/>
    </row>
    <row r="5" spans="1:8" s="232" customFormat="1" ht="15" customHeight="1">
      <c r="A5" s="2355" t="s">
        <v>17</v>
      </c>
      <c r="B5" s="2356"/>
      <c r="C5" s="2356"/>
      <c r="D5" s="2356"/>
      <c r="E5" s="2356"/>
      <c r="F5" s="2356"/>
      <c r="G5" s="2357"/>
    </row>
    <row r="6" spans="1:8" s="232" customFormat="1" ht="15" customHeight="1">
      <c r="A6" s="543"/>
      <c r="B6" s="550"/>
      <c r="C6" s="550"/>
      <c r="D6" s="550"/>
      <c r="E6" s="550"/>
      <c r="F6" s="550"/>
      <c r="G6" s="544"/>
    </row>
    <row r="7" spans="1:8" s="234" customFormat="1" ht="30" customHeight="1">
      <c r="A7" s="551" t="s">
        <v>700</v>
      </c>
      <c r="B7" s="2358" t="str">
        <f>'PLANILHA GERAL'!D9</f>
        <v>OBRAS DE PREVENÇÕES DE ALAGAMENTOS E CHEIAS, INFRAESTRUTURA URBANA E CONSTRUÇÕES DIVERSAS NO MUNICÍPIO DE ANANINDEUA/PA</v>
      </c>
      <c r="C7" s="2359"/>
      <c r="D7" s="2359"/>
      <c r="E7" s="2359"/>
      <c r="F7" s="2359"/>
      <c r="G7" s="2360"/>
    </row>
    <row r="8" spans="1:8" s="232" customFormat="1" ht="15" customHeight="1" thickBot="1">
      <c r="A8" s="233"/>
      <c r="B8" s="2361"/>
      <c r="C8" s="2361"/>
      <c r="D8" s="2361"/>
      <c r="E8" s="2361"/>
      <c r="F8" s="2361"/>
      <c r="G8" s="2362"/>
    </row>
    <row r="9" spans="1:8" s="234" customFormat="1" ht="24" customHeight="1" thickTop="1">
      <c r="A9" s="545" t="s">
        <v>185</v>
      </c>
      <c r="B9" s="547" t="s">
        <v>701</v>
      </c>
      <c r="C9" s="2349" t="s">
        <v>702</v>
      </c>
      <c r="D9" s="2350"/>
      <c r="E9" s="2350"/>
      <c r="F9" s="2351"/>
      <c r="G9" s="312" t="s">
        <v>566</v>
      </c>
    </row>
    <row r="10" spans="1:8" s="234" customFormat="1" ht="15" thickBot="1">
      <c r="A10" s="546" t="str">
        <f>'PLANILHA GERAL'!E144</f>
        <v>VII</v>
      </c>
      <c r="B10" s="552">
        <v>96402</v>
      </c>
      <c r="C10" s="2400" t="str">
        <f>'PLANILHA GERAL'!F144</f>
        <v>Execução de pintura de ligação com emulsão asfáltica RR-2C. AF_11/2019</v>
      </c>
      <c r="D10" s="2401"/>
      <c r="E10" s="2401"/>
      <c r="F10" s="2402"/>
      <c r="G10" s="155" t="str">
        <f>'PLANILHA GERAL'!H143</f>
        <v>m²</v>
      </c>
    </row>
    <row r="11" spans="1:8" s="234" customFormat="1" ht="12.75" customHeight="1" thickTop="1">
      <c r="A11" s="2363"/>
      <c r="B11" s="2364"/>
      <c r="C11" s="2364"/>
      <c r="D11" s="2364"/>
      <c r="E11" s="2364"/>
      <c r="F11" s="2364"/>
      <c r="G11" s="2365"/>
    </row>
    <row r="12" spans="1:8" s="171" customFormat="1" ht="20.100000000000001" customHeight="1">
      <c r="A12" s="241" t="s">
        <v>35</v>
      </c>
      <c r="B12" s="242" t="s">
        <v>263</v>
      </c>
      <c r="C12" s="243" t="s">
        <v>699</v>
      </c>
      <c r="D12" s="242" t="s">
        <v>37</v>
      </c>
      <c r="E12" s="243" t="s">
        <v>151</v>
      </c>
      <c r="F12" s="244" t="s">
        <v>38</v>
      </c>
      <c r="G12" s="245" t="s">
        <v>703</v>
      </c>
      <c r="H12" s="165"/>
    </row>
    <row r="13" spans="1:8" s="234" customFormat="1" ht="20.100000000000001" customHeight="1">
      <c r="A13" s="2366" t="s">
        <v>34</v>
      </c>
      <c r="B13" s="2367"/>
      <c r="C13" s="2367"/>
      <c r="D13" s="2367"/>
      <c r="E13" s="2367"/>
      <c r="F13" s="2367"/>
      <c r="G13" s="2368"/>
    </row>
    <row r="14" spans="1:8" s="234" customFormat="1" ht="23.25" customHeight="1">
      <c r="A14" s="553">
        <v>1</v>
      </c>
      <c r="B14" s="462" t="s">
        <v>42</v>
      </c>
      <c r="C14" s="554" t="s">
        <v>163</v>
      </c>
      <c r="D14" s="462" t="s">
        <v>229</v>
      </c>
      <c r="E14" s="572">
        <v>5.4999999999999997E-3</v>
      </c>
      <c r="F14" s="555">
        <f>'CPU - 6'!F14</f>
        <v>19.940000000000001</v>
      </c>
      <c r="G14" s="556">
        <f>E14*F14</f>
        <v>0.11</v>
      </c>
    </row>
    <row r="15" spans="1:8" s="234" customFormat="1" ht="20.100000000000001" customHeight="1">
      <c r="A15" s="2369" t="s">
        <v>563</v>
      </c>
      <c r="B15" s="2370"/>
      <c r="C15" s="2370"/>
      <c r="D15" s="2370"/>
      <c r="E15" s="2370"/>
      <c r="F15" s="2370"/>
      <c r="G15" s="557">
        <f>SUM(G14:G14)</f>
        <v>0.11</v>
      </c>
    </row>
    <row r="16" spans="1:8" s="234" customFormat="1" ht="20.100000000000001" customHeight="1">
      <c r="A16" s="2371" t="s">
        <v>44</v>
      </c>
      <c r="B16" s="2372"/>
      <c r="C16" s="2372"/>
      <c r="D16" s="2372"/>
      <c r="E16" s="2372"/>
      <c r="F16" s="2372"/>
      <c r="G16" s="2373"/>
    </row>
    <row r="17" spans="1:8" s="234" customFormat="1" ht="36">
      <c r="A17" s="553">
        <v>1</v>
      </c>
      <c r="B17" s="558">
        <v>5839</v>
      </c>
      <c r="C17" s="559" t="s">
        <v>716</v>
      </c>
      <c r="D17" s="560" t="s">
        <v>174</v>
      </c>
      <c r="E17" s="561">
        <v>2E-3</v>
      </c>
      <c r="F17" s="562">
        <f>'CPU - 6'!F17</f>
        <v>9.31</v>
      </c>
      <c r="G17" s="556">
        <f t="shared" ref="G17:G22" si="0">E17*F17</f>
        <v>0.02</v>
      </c>
    </row>
    <row r="18" spans="1:8" s="234" customFormat="1" ht="36">
      <c r="A18" s="553">
        <v>2</v>
      </c>
      <c r="B18" s="558" t="s">
        <v>290</v>
      </c>
      <c r="C18" s="559" t="s">
        <v>717</v>
      </c>
      <c r="D18" s="560" t="s">
        <v>176</v>
      </c>
      <c r="E18" s="561">
        <v>4.0000000000000001E-3</v>
      </c>
      <c r="F18" s="562">
        <f>'CPU - 6'!F18</f>
        <v>4.68</v>
      </c>
      <c r="G18" s="556">
        <f t="shared" si="0"/>
        <v>0.02</v>
      </c>
    </row>
    <row r="19" spans="1:8" s="234" customFormat="1" ht="60">
      <c r="A19" s="553">
        <v>3</v>
      </c>
      <c r="B19" s="558">
        <v>83362</v>
      </c>
      <c r="C19" s="559" t="s">
        <v>718</v>
      </c>
      <c r="D19" s="560" t="s">
        <v>174</v>
      </c>
      <c r="E19" s="561">
        <v>4.0000000000000002E-4</v>
      </c>
      <c r="F19" s="562">
        <f>'CPU - 6'!F19</f>
        <v>273.48</v>
      </c>
      <c r="G19" s="556">
        <f t="shared" si="0"/>
        <v>0.11</v>
      </c>
    </row>
    <row r="20" spans="1:8" s="234" customFormat="1" ht="24">
      <c r="A20" s="553">
        <v>4</v>
      </c>
      <c r="B20" s="558" t="s">
        <v>293</v>
      </c>
      <c r="C20" s="559" t="s">
        <v>713</v>
      </c>
      <c r="D20" s="560" t="s">
        <v>174</v>
      </c>
      <c r="E20" s="561">
        <v>1.6999999999999999E-3</v>
      </c>
      <c r="F20" s="562">
        <f>'CPU - 6'!F20</f>
        <v>124.44</v>
      </c>
      <c r="G20" s="556">
        <f t="shared" si="0"/>
        <v>0.21</v>
      </c>
    </row>
    <row r="21" spans="1:8" s="234" customFormat="1" ht="24">
      <c r="A21" s="553">
        <v>5</v>
      </c>
      <c r="B21" s="558" t="s">
        <v>295</v>
      </c>
      <c r="C21" s="559" t="s">
        <v>714</v>
      </c>
      <c r="D21" s="560" t="s">
        <v>176</v>
      </c>
      <c r="E21" s="561">
        <v>3.8E-3</v>
      </c>
      <c r="F21" s="562">
        <f>'CPU - 6'!F21</f>
        <v>41.3</v>
      </c>
      <c r="G21" s="556">
        <f t="shared" si="0"/>
        <v>0.16</v>
      </c>
    </row>
    <row r="22" spans="1:8" s="234" customFormat="1" ht="60">
      <c r="A22" s="553">
        <v>6</v>
      </c>
      <c r="B22" s="558">
        <v>91486</v>
      </c>
      <c r="C22" s="559" t="s">
        <v>719</v>
      </c>
      <c r="D22" s="560" t="s">
        <v>176</v>
      </c>
      <c r="E22" s="561">
        <v>5.1000000000000004E-3</v>
      </c>
      <c r="F22" s="562">
        <f>'CPU - 6'!F22</f>
        <v>64.45</v>
      </c>
      <c r="G22" s="556">
        <f t="shared" si="0"/>
        <v>0.33</v>
      </c>
    </row>
    <row r="23" spans="1:8" s="234" customFormat="1" ht="20.100000000000001" customHeight="1">
      <c r="A23" s="2369" t="s">
        <v>564</v>
      </c>
      <c r="B23" s="2370"/>
      <c r="C23" s="2370"/>
      <c r="D23" s="2370"/>
      <c r="E23" s="2370"/>
      <c r="F23" s="2370"/>
      <c r="G23" s="557">
        <f>SUM(G17:G22)</f>
        <v>0.85</v>
      </c>
    </row>
    <row r="24" spans="1:8" s="234" customFormat="1" ht="20.100000000000001" customHeight="1">
      <c r="A24" s="2390" t="s">
        <v>46</v>
      </c>
      <c r="B24" s="2391"/>
      <c r="C24" s="2391"/>
      <c r="D24" s="2391"/>
      <c r="E24" s="2391"/>
      <c r="F24" s="2391"/>
      <c r="G24" s="2392"/>
    </row>
    <row r="25" spans="1:8" s="234" customFormat="1" ht="36">
      <c r="A25" s="553">
        <v>1</v>
      </c>
      <c r="B25" s="558" t="s">
        <v>287</v>
      </c>
      <c r="C25" s="563" t="s">
        <v>720</v>
      </c>
      <c r="D25" s="560" t="s">
        <v>282</v>
      </c>
      <c r="E25" s="564">
        <v>0.45</v>
      </c>
      <c r="F25" s="562">
        <f>G41</f>
        <v>5.53</v>
      </c>
      <c r="G25" s="556">
        <f>E25*F25</f>
        <v>2.4900000000000002</v>
      </c>
    </row>
    <row r="26" spans="1:8" s="234" customFormat="1" ht="20.100000000000001" customHeight="1">
      <c r="A26" s="2369" t="s">
        <v>565</v>
      </c>
      <c r="B26" s="2370"/>
      <c r="C26" s="2370"/>
      <c r="D26" s="2370"/>
      <c r="E26" s="2370"/>
      <c r="F26" s="2370"/>
      <c r="G26" s="557">
        <f>SUM(G25:G25)</f>
        <v>2.4900000000000002</v>
      </c>
    </row>
    <row r="27" spans="1:8" s="171" customFormat="1" ht="20.100000000000001" customHeight="1">
      <c r="A27" s="2393" t="s">
        <v>48</v>
      </c>
      <c r="B27" s="2394"/>
      <c r="C27" s="2394"/>
      <c r="D27" s="2394"/>
      <c r="E27" s="2394"/>
      <c r="F27" s="2394"/>
      <c r="G27" s="2395"/>
      <c r="H27" s="165"/>
    </row>
    <row r="28" spans="1:8" s="171" customFormat="1" ht="20.100000000000001" customHeight="1">
      <c r="A28" s="156" t="s">
        <v>35</v>
      </c>
      <c r="B28" s="157"/>
      <c r="C28" s="157" t="s">
        <v>49</v>
      </c>
      <c r="D28" s="2396" t="s">
        <v>704</v>
      </c>
      <c r="E28" s="2397"/>
      <c r="F28" s="2397"/>
      <c r="G28" s="2398"/>
      <c r="H28" s="165"/>
    </row>
    <row r="29" spans="1:8" s="171" customFormat="1" ht="20.100000000000001" customHeight="1">
      <c r="A29" s="156" t="s">
        <v>50</v>
      </c>
      <c r="B29" s="157"/>
      <c r="C29" s="157" t="s">
        <v>51</v>
      </c>
      <c r="D29" s="2383" t="s">
        <v>52</v>
      </c>
      <c r="E29" s="2383"/>
      <c r="F29" s="2383"/>
      <c r="G29" s="158">
        <f>G15</f>
        <v>0.11</v>
      </c>
      <c r="H29" s="165"/>
    </row>
    <row r="30" spans="1:8" s="171" customFormat="1" ht="20.100000000000001" customHeight="1">
      <c r="A30" s="156" t="s">
        <v>53</v>
      </c>
      <c r="B30" s="157"/>
      <c r="C30" s="157" t="s">
        <v>54</v>
      </c>
      <c r="D30" s="2383" t="s">
        <v>55</v>
      </c>
      <c r="E30" s="2383"/>
      <c r="F30" s="2383"/>
      <c r="G30" s="158">
        <f>G23</f>
        <v>0.85</v>
      </c>
      <c r="H30" s="165"/>
    </row>
    <row r="31" spans="1:8" s="171" customFormat="1" ht="20.100000000000001" customHeight="1">
      <c r="A31" s="156" t="s">
        <v>14</v>
      </c>
      <c r="B31" s="157"/>
      <c r="C31" s="157" t="s">
        <v>56</v>
      </c>
      <c r="D31" s="2383" t="s">
        <v>57</v>
      </c>
      <c r="E31" s="2383"/>
      <c r="F31" s="2383"/>
      <c r="G31" s="158">
        <f>G26</f>
        <v>2.4900000000000002</v>
      </c>
      <c r="H31" s="165"/>
    </row>
    <row r="32" spans="1:8" s="171" customFormat="1" ht="20.100000000000001" customHeight="1">
      <c r="A32" s="156" t="s">
        <v>7</v>
      </c>
      <c r="B32" s="157"/>
      <c r="C32" s="565" t="s">
        <v>58</v>
      </c>
      <c r="D32" s="2384" t="s">
        <v>59</v>
      </c>
      <c r="E32" s="2384"/>
      <c r="F32" s="2384"/>
      <c r="G32" s="566">
        <f>G29+G30+G31</f>
        <v>3.45</v>
      </c>
      <c r="H32" s="165"/>
    </row>
    <row r="33" spans="1:8" s="171" customFormat="1" ht="20.100000000000001" customHeight="1">
      <c r="A33" s="156"/>
      <c r="B33" s="157"/>
      <c r="C33" s="565"/>
      <c r="D33" s="2385" t="s">
        <v>198</v>
      </c>
      <c r="E33" s="2386"/>
      <c r="F33" s="567">
        <v>0.27460000000000001</v>
      </c>
      <c r="G33" s="159">
        <f>G32*F33</f>
        <v>0.95</v>
      </c>
      <c r="H33" s="165"/>
    </row>
    <row r="34" spans="1:8" s="171" customFormat="1" ht="20.100000000000001" customHeight="1" thickBot="1">
      <c r="A34" s="2387" t="s">
        <v>61</v>
      </c>
      <c r="B34" s="2388"/>
      <c r="C34" s="2388"/>
      <c r="D34" s="2388"/>
      <c r="E34" s="2388"/>
      <c r="F34" s="2389"/>
      <c r="G34" s="160">
        <f>G32+G33</f>
        <v>4.4000000000000004</v>
      </c>
      <c r="H34" s="165"/>
    </row>
    <row r="35" spans="1:8" s="234" customFormat="1" ht="20.100000000000001" customHeight="1">
      <c r="A35" s="568"/>
      <c r="B35" s="569"/>
      <c r="C35" s="569"/>
      <c r="D35" s="570"/>
      <c r="E35" s="569"/>
      <c r="F35" s="569"/>
      <c r="G35" s="571"/>
    </row>
    <row r="36" spans="1:8" ht="20.100000000000001" customHeight="1">
      <c r="A36" s="2422" t="s">
        <v>586</v>
      </c>
      <c r="B36" s="2422"/>
      <c r="C36" s="2422"/>
      <c r="D36" s="2422"/>
      <c r="E36" s="2422"/>
      <c r="F36" s="2422"/>
      <c r="G36" s="2422"/>
    </row>
    <row r="37" spans="1:8" ht="20.100000000000001" customHeight="1">
      <c r="A37" s="2426" t="s">
        <v>585</v>
      </c>
      <c r="B37" s="2427"/>
      <c r="C37" s="237" t="s">
        <v>183</v>
      </c>
      <c r="D37" s="238" t="s">
        <v>148</v>
      </c>
      <c r="E37" s="238" t="s">
        <v>462</v>
      </c>
      <c r="F37" s="238" t="s">
        <v>463</v>
      </c>
      <c r="G37" s="460" t="s">
        <v>298</v>
      </c>
    </row>
    <row r="38" spans="1:8" ht="20.100000000000001" customHeight="1">
      <c r="A38" s="2423">
        <v>44944</v>
      </c>
      <c r="B38" s="2424"/>
      <c r="C38" s="461" t="s">
        <v>584</v>
      </c>
      <c r="D38" s="462">
        <v>1</v>
      </c>
      <c r="E38" s="462" t="s">
        <v>436</v>
      </c>
      <c r="F38" s="463">
        <v>5800</v>
      </c>
      <c r="G38" s="463">
        <f>F38/1000</f>
        <v>5.8</v>
      </c>
    </row>
    <row r="39" spans="1:8" ht="20.100000000000001" customHeight="1">
      <c r="A39" s="2423">
        <v>44945</v>
      </c>
      <c r="B39" s="2424"/>
      <c r="C39" s="461" t="s">
        <v>587</v>
      </c>
      <c r="D39" s="462">
        <v>1</v>
      </c>
      <c r="E39" s="462" t="s">
        <v>436</v>
      </c>
      <c r="F39" s="463">
        <v>5700</v>
      </c>
      <c r="G39" s="463">
        <f>F39/1000</f>
        <v>5.7</v>
      </c>
    </row>
    <row r="40" spans="1:8" ht="20.100000000000001" customHeight="1">
      <c r="A40" s="2423">
        <v>44949</v>
      </c>
      <c r="B40" s="2424"/>
      <c r="C40" s="461" t="s">
        <v>588</v>
      </c>
      <c r="D40" s="462">
        <v>1</v>
      </c>
      <c r="E40" s="462" t="s">
        <v>436</v>
      </c>
      <c r="F40" s="463">
        <v>5100</v>
      </c>
      <c r="G40" s="463">
        <f>F40/1000</f>
        <v>5.0999999999999996</v>
      </c>
    </row>
    <row r="41" spans="1:8" ht="20.100000000000001" customHeight="1">
      <c r="A41" s="2425" t="s">
        <v>464</v>
      </c>
      <c r="B41" s="2425"/>
      <c r="C41" s="2425"/>
      <c r="D41" s="2425"/>
      <c r="E41" s="2425"/>
      <c r="F41" s="2425"/>
      <c r="G41" s="464">
        <f>(G38+G39+G40)/3</f>
        <v>5.53</v>
      </c>
    </row>
    <row r="42" spans="1:8" ht="20.100000000000001" customHeight="1"/>
    <row r="43" spans="1:8" ht="20.100000000000001" customHeight="1"/>
  </sheetData>
  <mergeCells count="29">
    <mergeCell ref="A37:B37"/>
    <mergeCell ref="A38:B38"/>
    <mergeCell ref="A39:B39"/>
    <mergeCell ref="A40:B40"/>
    <mergeCell ref="A41:F41"/>
    <mergeCell ref="A36:G36"/>
    <mergeCell ref="A23:F23"/>
    <mergeCell ref="A24:G24"/>
    <mergeCell ref="A26:F26"/>
    <mergeCell ref="A27:G27"/>
    <mergeCell ref="D28:G28"/>
    <mergeCell ref="D29:F29"/>
    <mergeCell ref="D30:F30"/>
    <mergeCell ref="D31:F31"/>
    <mergeCell ref="D32:F32"/>
    <mergeCell ref="D33:E33"/>
    <mergeCell ref="A34:F34"/>
    <mergeCell ref="A16:G16"/>
    <mergeCell ref="A1:G2"/>
    <mergeCell ref="A3:G3"/>
    <mergeCell ref="A4:G4"/>
    <mergeCell ref="A5:G5"/>
    <mergeCell ref="B7:G7"/>
    <mergeCell ref="B8:G8"/>
    <mergeCell ref="C9:F9"/>
    <mergeCell ref="C10:F10"/>
    <mergeCell ref="A11:G11"/>
    <mergeCell ref="A13:G13"/>
    <mergeCell ref="A15:F15"/>
  </mergeCells>
  <printOptions horizontalCentered="1"/>
  <pageMargins left="0.51181102362204722" right="0.51181102362204722" top="0.78740157480314965" bottom="0.78740157480314965" header="0.31496062992125984" footer="0.31496062992125984"/>
  <pageSetup paperSize="9" scale="78" orientation="portrait" r:id="rId1"/>
  <colBreaks count="1" manualBreakCount="1">
    <brk id="7" max="1048575" man="1"/>
  </colBreaks>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sheetPr>
  <dimension ref="A1:J47"/>
  <sheetViews>
    <sheetView view="pageBreakPreview" zoomScale="85" zoomScaleNormal="100" zoomScaleSheetLayoutView="85" workbookViewId="0">
      <selection activeCell="C14" sqref="C14"/>
    </sheetView>
  </sheetViews>
  <sheetFormatPr defaultColWidth="9.28515625" defaultRowHeight="14.25"/>
  <cols>
    <col min="1" max="1" width="10.28515625" style="108" customWidth="1"/>
    <col min="2" max="2" width="10.7109375" style="108" customWidth="1"/>
    <col min="3" max="3" width="45.7109375" style="108" customWidth="1"/>
    <col min="4" max="7" width="14.7109375" style="108" customWidth="1"/>
    <col min="8" max="8" width="11.7109375" style="107" customWidth="1"/>
    <col min="9" max="9" width="9.28515625" style="107"/>
    <col min="10" max="16384" width="9.28515625" style="108"/>
  </cols>
  <sheetData>
    <row r="1" spans="1:10">
      <c r="A1" s="103"/>
      <c r="B1" s="104"/>
      <c r="C1" s="104"/>
      <c r="D1" s="104"/>
      <c r="E1" s="104"/>
      <c r="F1" s="104"/>
      <c r="G1" s="105"/>
      <c r="H1" s="106"/>
    </row>
    <row r="2" spans="1:10" ht="50.25" customHeight="1">
      <c r="A2" s="1965"/>
      <c r="B2" s="1966"/>
      <c r="C2" s="1966"/>
      <c r="D2" s="1966"/>
      <c r="E2" s="1966"/>
      <c r="F2" s="1966"/>
      <c r="G2" s="1967"/>
      <c r="H2" s="106"/>
    </row>
    <row r="3" spans="1:10" ht="16.5">
      <c r="A3" s="2448" t="s">
        <v>18</v>
      </c>
      <c r="B3" s="2449"/>
      <c r="C3" s="2449"/>
      <c r="D3" s="2449"/>
      <c r="E3" s="2449"/>
      <c r="F3" s="2449"/>
      <c r="G3" s="2450"/>
      <c r="H3" s="109"/>
    </row>
    <row r="4" spans="1:10">
      <c r="A4" s="1965" t="s">
        <v>187</v>
      </c>
      <c r="B4" s="1966"/>
      <c r="C4" s="1966"/>
      <c r="D4" s="1966"/>
      <c r="E4" s="1966"/>
      <c r="F4" s="1966"/>
      <c r="G4" s="1967"/>
      <c r="H4" s="109"/>
    </row>
    <row r="5" spans="1:10">
      <c r="A5" s="2451" t="s">
        <v>17</v>
      </c>
      <c r="B5" s="2452"/>
      <c r="C5" s="2452"/>
      <c r="D5" s="2452"/>
      <c r="E5" s="2452"/>
      <c r="F5" s="2452"/>
      <c r="G5" s="2453"/>
      <c r="H5" s="109"/>
    </row>
    <row r="6" spans="1:10">
      <c r="A6" s="410"/>
      <c r="B6" s="106"/>
      <c r="C6" s="106"/>
      <c r="D6" s="106"/>
      <c r="E6" s="106"/>
      <c r="F6" s="106"/>
      <c r="G6" s="411"/>
      <c r="H6" s="109"/>
    </row>
    <row r="7" spans="1:10" ht="41.25" customHeight="1">
      <c r="A7" s="439" t="s">
        <v>567</v>
      </c>
      <c r="B7" s="2439" t="str">
        <f>'PLANILHA GERAL'!D9</f>
        <v>OBRAS DE PREVENÇÕES DE ALAGAMENTOS E CHEIAS, INFRAESTRUTURA URBANA E CONSTRUÇÕES DIVERSAS NO MUNICÍPIO DE ANANINDEUA/PA</v>
      </c>
      <c r="C7" s="2440"/>
      <c r="D7" s="2440"/>
      <c r="E7" s="2440"/>
      <c r="F7" s="2440"/>
      <c r="G7" s="2441"/>
      <c r="H7" s="414"/>
    </row>
    <row r="8" spans="1:10" ht="15" thickBot="1">
      <c r="A8" s="2454"/>
      <c r="B8" s="2455"/>
      <c r="C8" s="2455"/>
      <c r="D8" s="2455"/>
      <c r="E8" s="2455"/>
      <c r="F8" s="2455"/>
      <c r="G8" s="2456"/>
      <c r="H8" s="109"/>
    </row>
    <row r="9" spans="1:10" ht="15" thickTop="1">
      <c r="A9" s="2460" t="s">
        <v>540</v>
      </c>
      <c r="B9" s="247" t="s">
        <v>186</v>
      </c>
      <c r="C9" s="2462" t="s">
        <v>562</v>
      </c>
      <c r="D9" s="2463"/>
      <c r="E9" s="2463"/>
      <c r="F9" s="2464"/>
      <c r="G9" s="316" t="s">
        <v>569</v>
      </c>
      <c r="H9" s="110"/>
    </row>
    <row r="10" spans="1:10" ht="15" thickBot="1">
      <c r="A10" s="2461"/>
      <c r="B10" s="246">
        <v>44866</v>
      </c>
      <c r="C10" s="2465"/>
      <c r="D10" s="2466"/>
      <c r="E10" s="2466"/>
      <c r="F10" s="2467"/>
      <c r="G10" s="317" t="s">
        <v>512</v>
      </c>
      <c r="H10" s="110"/>
    </row>
    <row r="11" spans="1:10" ht="15" thickTop="1">
      <c r="A11" s="2468"/>
      <c r="B11" s="2469"/>
      <c r="C11" s="2469"/>
      <c r="D11" s="2469"/>
      <c r="E11" s="2469"/>
      <c r="F11" s="2469"/>
      <c r="G11" s="2470"/>
      <c r="H11" s="110"/>
    </row>
    <row r="12" spans="1:10" s="113" customFormat="1" ht="20.100000000000001" customHeight="1">
      <c r="A12" s="220" t="s">
        <v>35</v>
      </c>
      <c r="B12" s="221" t="s">
        <v>263</v>
      </c>
      <c r="C12" s="222" t="s">
        <v>36</v>
      </c>
      <c r="D12" s="221" t="s">
        <v>37</v>
      </c>
      <c r="E12" s="222" t="s">
        <v>151</v>
      </c>
      <c r="F12" s="223" t="s">
        <v>38</v>
      </c>
      <c r="G12" s="224" t="s">
        <v>39</v>
      </c>
      <c r="H12" s="114"/>
      <c r="I12" s="107"/>
    </row>
    <row r="13" spans="1:10" s="113" customFormat="1" ht="20.100000000000001" customHeight="1">
      <c r="A13" s="2442" t="s">
        <v>34</v>
      </c>
      <c r="B13" s="2443"/>
      <c r="C13" s="2443"/>
      <c r="D13" s="2443"/>
      <c r="E13" s="2443"/>
      <c r="F13" s="2443"/>
      <c r="G13" s="2444"/>
      <c r="H13" s="111"/>
      <c r="I13" s="107">
        <v>1.28</v>
      </c>
      <c r="J13" s="112">
        <f>G44</f>
        <v>203.37</v>
      </c>
    </row>
    <row r="14" spans="1:10" s="113" customFormat="1" ht="30" customHeight="1">
      <c r="A14" s="115">
        <v>1</v>
      </c>
      <c r="B14" s="116" t="s">
        <v>440</v>
      </c>
      <c r="C14" s="117" t="s">
        <v>356</v>
      </c>
      <c r="D14" s="118" t="s">
        <v>41</v>
      </c>
      <c r="E14" s="119" t="str">
        <f>'[18]Composição ORSE'!$H$12</f>
        <v xml:space="preserve"> 0,0059524</v>
      </c>
      <c r="F14" s="120">
        <v>20.63</v>
      </c>
      <c r="G14" s="121">
        <f>E14*F14</f>
        <v>0.12</v>
      </c>
      <c r="H14" s="122">
        <v>1.34E-2</v>
      </c>
      <c r="I14" s="107">
        <f>$I$13</f>
        <v>1.28</v>
      </c>
    </row>
    <row r="15" spans="1:10" s="113" customFormat="1" ht="30" customHeight="1">
      <c r="A15" s="146">
        <v>2</v>
      </c>
      <c r="B15" s="147" t="s">
        <v>42</v>
      </c>
      <c r="C15" s="148" t="s">
        <v>189</v>
      </c>
      <c r="D15" s="149" t="s">
        <v>41</v>
      </c>
      <c r="E15" s="150" t="str">
        <f>'[18]Composição ORSE'!$H$20</f>
        <v xml:space="preserve"> 0,0178571</v>
      </c>
      <c r="F15" s="151">
        <v>19.059999999999999</v>
      </c>
      <c r="G15" s="121">
        <f>E15*F15</f>
        <v>0.34</v>
      </c>
      <c r="H15" s="122">
        <v>3.5000000000000003E-2</v>
      </c>
      <c r="I15" s="107">
        <f t="shared" ref="I15:I29" si="0">$I$13</f>
        <v>1.28</v>
      </c>
    </row>
    <row r="16" spans="1:10" s="113" customFormat="1" ht="20.100000000000001" customHeight="1">
      <c r="A16" s="2434" t="s">
        <v>43</v>
      </c>
      <c r="B16" s="2435"/>
      <c r="C16" s="2435"/>
      <c r="D16" s="2435"/>
      <c r="E16" s="2435"/>
      <c r="F16" s="2435"/>
      <c r="G16" s="438">
        <f>SUM(G14:G15)</f>
        <v>0.46</v>
      </c>
      <c r="H16" s="123"/>
      <c r="I16" s="107"/>
    </row>
    <row r="17" spans="1:10" s="113" customFormat="1" ht="20.100000000000001" customHeight="1">
      <c r="A17" s="2442" t="s">
        <v>44</v>
      </c>
      <c r="B17" s="2443"/>
      <c r="C17" s="2443"/>
      <c r="D17" s="2443"/>
      <c r="E17" s="2443"/>
      <c r="F17" s="2443"/>
      <c r="G17" s="2444"/>
      <c r="H17" s="111"/>
      <c r="I17" s="107"/>
    </row>
    <row r="18" spans="1:10" s="113" customFormat="1" ht="30" customHeight="1">
      <c r="A18" s="115">
        <v>1</v>
      </c>
      <c r="B18" s="126">
        <v>5903</v>
      </c>
      <c r="C18" s="127" t="s">
        <v>268</v>
      </c>
      <c r="D18" s="118" t="s">
        <v>176</v>
      </c>
      <c r="E18" s="119">
        <v>7.8E-2</v>
      </c>
      <c r="F18" s="120">
        <v>55.24</v>
      </c>
      <c r="G18" s="121">
        <f>E18*F18</f>
        <v>4.3099999999999996</v>
      </c>
      <c r="H18" s="122">
        <v>3.5000000000000003E-2</v>
      </c>
      <c r="I18" s="107">
        <f t="shared" si="0"/>
        <v>1.28</v>
      </c>
      <c r="J18" s="113">
        <f>77.84/2</f>
        <v>38.92</v>
      </c>
    </row>
    <row r="19" spans="1:10" s="113" customFormat="1" ht="30" customHeight="1">
      <c r="A19" s="115">
        <v>2</v>
      </c>
      <c r="B19" s="126">
        <v>5901</v>
      </c>
      <c r="C19" s="127" t="s">
        <v>266</v>
      </c>
      <c r="D19" s="118" t="s">
        <v>174</v>
      </c>
      <c r="E19" s="119">
        <v>2.1999999999999999E-2</v>
      </c>
      <c r="F19" s="120">
        <v>316.79000000000002</v>
      </c>
      <c r="G19" s="121">
        <f>E19*F19</f>
        <v>6.97</v>
      </c>
      <c r="H19" s="122">
        <v>1.34E-2</v>
      </c>
      <c r="I19" s="107">
        <f t="shared" si="0"/>
        <v>1.28</v>
      </c>
    </row>
    <row r="20" spans="1:10" s="113" customFormat="1" ht="30" customHeight="1">
      <c r="A20" s="115">
        <v>3</v>
      </c>
      <c r="B20" s="126">
        <v>5689</v>
      </c>
      <c r="C20" s="127" t="s">
        <v>441</v>
      </c>
      <c r="D20" s="118" t="s">
        <v>174</v>
      </c>
      <c r="E20" s="119">
        <v>0.13850000000000001</v>
      </c>
      <c r="F20" s="120">
        <v>7.34</v>
      </c>
      <c r="G20" s="121">
        <f t="shared" ref="G20:G29" si="1">E20*F20</f>
        <v>1.02</v>
      </c>
      <c r="H20" s="122">
        <v>1.34E-2</v>
      </c>
      <c r="I20" s="107">
        <f t="shared" si="0"/>
        <v>1.28</v>
      </c>
      <c r="J20" s="113">
        <f>15.35/2</f>
        <v>7.6749999999999998</v>
      </c>
    </row>
    <row r="21" spans="1:10" s="113" customFormat="1" ht="30" customHeight="1">
      <c r="A21" s="115">
        <v>4</v>
      </c>
      <c r="B21" s="126">
        <v>5690</v>
      </c>
      <c r="C21" s="127" t="s">
        <v>442</v>
      </c>
      <c r="D21" s="118" t="s">
        <v>176</v>
      </c>
      <c r="E21" s="119">
        <v>0.1615</v>
      </c>
      <c r="F21" s="120">
        <v>4.5599999999999996</v>
      </c>
      <c r="G21" s="121">
        <f t="shared" si="1"/>
        <v>0.74</v>
      </c>
      <c r="H21" s="122">
        <v>1.34E-2</v>
      </c>
      <c r="I21" s="107">
        <f t="shared" si="0"/>
        <v>1.28</v>
      </c>
    </row>
    <row r="22" spans="1:10" s="113" customFormat="1" ht="30" customHeight="1">
      <c r="A22" s="115">
        <v>5</v>
      </c>
      <c r="B22" s="126">
        <v>5934</v>
      </c>
      <c r="C22" s="127" t="s">
        <v>272</v>
      </c>
      <c r="D22" s="118" t="s">
        <v>176</v>
      </c>
      <c r="E22" s="119">
        <v>7.1999999999999995E-2</v>
      </c>
      <c r="F22" s="120">
        <v>80.22</v>
      </c>
      <c r="G22" s="121">
        <f t="shared" si="1"/>
        <v>5.78</v>
      </c>
      <c r="H22" s="122">
        <v>4.6399999999999997E-2</v>
      </c>
      <c r="I22" s="107">
        <f t="shared" si="0"/>
        <v>1.28</v>
      </c>
      <c r="J22" s="113">
        <f>142.03/2</f>
        <v>71.015000000000001</v>
      </c>
    </row>
    <row r="23" spans="1:10" s="113" customFormat="1" ht="30" customHeight="1">
      <c r="A23" s="115">
        <v>6</v>
      </c>
      <c r="B23" s="126">
        <v>5932</v>
      </c>
      <c r="C23" s="127" t="s">
        <v>270</v>
      </c>
      <c r="D23" s="118" t="s">
        <v>174</v>
      </c>
      <c r="E23" s="119">
        <v>2.8000000000000001E-2</v>
      </c>
      <c r="F23" s="120">
        <v>247.49</v>
      </c>
      <c r="G23" s="121">
        <f t="shared" si="1"/>
        <v>6.93</v>
      </c>
      <c r="H23" s="122">
        <v>9.4899999999999998E-2</v>
      </c>
      <c r="I23" s="107">
        <f t="shared" si="0"/>
        <v>1.28</v>
      </c>
    </row>
    <row r="24" spans="1:10" s="113" customFormat="1" ht="30" customHeight="1">
      <c r="A24" s="115">
        <v>7</v>
      </c>
      <c r="B24" s="126">
        <v>6880</v>
      </c>
      <c r="C24" s="127" t="s">
        <v>514</v>
      </c>
      <c r="D24" s="118" t="s">
        <v>176</v>
      </c>
      <c r="E24" s="119">
        <v>7.1999999999999995E-2</v>
      </c>
      <c r="F24" s="120">
        <v>77.739999999999995</v>
      </c>
      <c r="G24" s="121">
        <f t="shared" si="1"/>
        <v>5.6</v>
      </c>
      <c r="H24" s="122">
        <v>4.6399999999999997E-2</v>
      </c>
      <c r="I24" s="107">
        <f t="shared" si="0"/>
        <v>1.28</v>
      </c>
      <c r="J24" s="113">
        <f>111.18/2</f>
        <v>55.59</v>
      </c>
    </row>
    <row r="25" spans="1:10" s="113" customFormat="1" ht="30" customHeight="1">
      <c r="A25" s="115">
        <v>8</v>
      </c>
      <c r="B25" s="126">
        <v>6879</v>
      </c>
      <c r="C25" s="127" t="s">
        <v>515</v>
      </c>
      <c r="D25" s="118" t="s">
        <v>174</v>
      </c>
      <c r="E25" s="119">
        <v>2.8000000000000001E-2</v>
      </c>
      <c r="F25" s="120">
        <v>212.35</v>
      </c>
      <c r="G25" s="121">
        <f t="shared" si="1"/>
        <v>5.95</v>
      </c>
      <c r="H25" s="122">
        <v>8.0500000000000002E-2</v>
      </c>
      <c r="I25" s="107">
        <f t="shared" si="0"/>
        <v>1.28</v>
      </c>
    </row>
    <row r="26" spans="1:10" s="113" customFormat="1" ht="30" customHeight="1">
      <c r="A26" s="115">
        <v>9</v>
      </c>
      <c r="B26" s="126">
        <v>96021</v>
      </c>
      <c r="C26" s="127" t="s">
        <v>516</v>
      </c>
      <c r="D26" s="118" t="s">
        <v>176</v>
      </c>
      <c r="E26" s="119">
        <v>8.5000000000000006E-2</v>
      </c>
      <c r="F26" s="120">
        <v>47.58</v>
      </c>
      <c r="G26" s="121">
        <f t="shared" si="1"/>
        <v>4.04</v>
      </c>
      <c r="H26" s="122">
        <v>6.0699999999999997E-2</v>
      </c>
      <c r="I26" s="107">
        <f t="shared" si="0"/>
        <v>1.28</v>
      </c>
      <c r="J26" s="113">
        <f xml:space="preserve"> 79.89/2</f>
        <v>39.945</v>
      </c>
    </row>
    <row r="27" spans="1:10" s="113" customFormat="1" ht="30" customHeight="1">
      <c r="A27" s="115">
        <v>10</v>
      </c>
      <c r="B27" s="126">
        <v>96020</v>
      </c>
      <c r="C27" s="127" t="s">
        <v>517</v>
      </c>
      <c r="D27" s="118" t="s">
        <v>174</v>
      </c>
      <c r="E27" s="119">
        <v>1.4999999999999999E-2</v>
      </c>
      <c r="F27" s="120">
        <v>181.71</v>
      </c>
      <c r="G27" s="121">
        <f t="shared" si="1"/>
        <v>2.73</v>
      </c>
      <c r="H27" s="122">
        <v>0.1071</v>
      </c>
      <c r="I27" s="107">
        <f t="shared" si="0"/>
        <v>1.28</v>
      </c>
    </row>
    <row r="28" spans="1:10" s="113" customFormat="1" ht="30" customHeight="1">
      <c r="A28" s="115">
        <v>11</v>
      </c>
      <c r="B28" s="126">
        <v>7050</v>
      </c>
      <c r="C28" s="127" t="s">
        <v>518</v>
      </c>
      <c r="D28" s="118" t="s">
        <v>176</v>
      </c>
      <c r="E28" s="119">
        <v>7.4999999999999997E-2</v>
      </c>
      <c r="F28" s="120">
        <v>71.36</v>
      </c>
      <c r="G28" s="121">
        <f t="shared" si="1"/>
        <v>5.35</v>
      </c>
      <c r="H28" s="122">
        <v>3.4099999999999998E-2</v>
      </c>
      <c r="I28" s="107">
        <f t="shared" si="0"/>
        <v>1.28</v>
      </c>
      <c r="J28" s="113">
        <f>102.08/2</f>
        <v>51.04</v>
      </c>
    </row>
    <row r="29" spans="1:10" s="113" customFormat="1" ht="30" customHeight="1">
      <c r="A29" s="146">
        <v>12</v>
      </c>
      <c r="B29" s="152">
        <v>7049</v>
      </c>
      <c r="C29" s="153" t="s">
        <v>519</v>
      </c>
      <c r="D29" s="149" t="s">
        <v>174</v>
      </c>
      <c r="E29" s="150">
        <v>2.5000000000000001E-2</v>
      </c>
      <c r="F29" s="151">
        <v>226.94</v>
      </c>
      <c r="G29" s="121">
        <f t="shared" si="1"/>
        <v>5.67</v>
      </c>
      <c r="H29" s="122">
        <v>4.19E-2</v>
      </c>
      <c r="I29" s="107">
        <f t="shared" si="0"/>
        <v>1.28</v>
      </c>
    </row>
    <row r="30" spans="1:10" s="113" customFormat="1" ht="20.100000000000001" customHeight="1">
      <c r="A30" s="2434" t="s">
        <v>45</v>
      </c>
      <c r="B30" s="2435"/>
      <c r="C30" s="2435"/>
      <c r="D30" s="2435"/>
      <c r="E30" s="2435"/>
      <c r="F30" s="2435"/>
      <c r="G30" s="438">
        <f>SUM(G18:G29)</f>
        <v>55.09</v>
      </c>
      <c r="H30" s="123"/>
      <c r="I30" s="107"/>
    </row>
    <row r="31" spans="1:10" s="113" customFormat="1" ht="20.100000000000001" customHeight="1">
      <c r="A31" s="2457" t="s">
        <v>46</v>
      </c>
      <c r="B31" s="2458"/>
      <c r="C31" s="2458"/>
      <c r="D31" s="2458"/>
      <c r="E31" s="2458"/>
      <c r="F31" s="2458"/>
      <c r="G31" s="2459"/>
      <c r="H31" s="111"/>
      <c r="I31" s="107"/>
    </row>
    <row r="32" spans="1:10" s="113" customFormat="1" ht="30" customHeight="1">
      <c r="A32" s="115">
        <v>1</v>
      </c>
      <c r="B32" s="116" t="s">
        <v>520</v>
      </c>
      <c r="C32" s="117" t="s">
        <v>521</v>
      </c>
      <c r="D32" s="118" t="s">
        <v>0</v>
      </c>
      <c r="E32" s="119">
        <v>1.1499999999999999</v>
      </c>
      <c r="F32" s="120">
        <v>55.35</v>
      </c>
      <c r="G32" s="121">
        <f>E32*F32</f>
        <v>63.65</v>
      </c>
      <c r="H32" s="122">
        <v>0.1875</v>
      </c>
      <c r="I32" s="107">
        <f>$I$13</f>
        <v>1.28</v>
      </c>
    </row>
    <row r="33" spans="1:9" s="113" customFormat="1" ht="20.100000000000001" customHeight="1">
      <c r="A33" s="2436" t="s">
        <v>47</v>
      </c>
      <c r="B33" s="2437"/>
      <c r="C33" s="2437"/>
      <c r="D33" s="2437"/>
      <c r="E33" s="2437"/>
      <c r="F33" s="2438"/>
      <c r="G33" s="438">
        <f>SUM(G32:G32)</f>
        <v>63.65</v>
      </c>
      <c r="H33" s="123"/>
      <c r="I33" s="107"/>
    </row>
    <row r="34" spans="1:9" s="113" customFormat="1" ht="20.100000000000001" customHeight="1">
      <c r="A34" s="2457" t="s">
        <v>522</v>
      </c>
      <c r="B34" s="2458"/>
      <c r="C34" s="2458"/>
      <c r="D34" s="2458"/>
      <c r="E34" s="2458"/>
      <c r="F34" s="2458"/>
      <c r="G34" s="2459"/>
      <c r="H34" s="111"/>
      <c r="I34" s="107"/>
    </row>
    <row r="35" spans="1:9" s="113" customFormat="1" ht="30" customHeight="1">
      <c r="A35" s="115">
        <v>1</v>
      </c>
      <c r="B35" s="116" t="s">
        <v>523</v>
      </c>
      <c r="C35" s="154" t="s">
        <v>302</v>
      </c>
      <c r="D35" s="118" t="s">
        <v>0</v>
      </c>
      <c r="E35" s="119">
        <v>1</v>
      </c>
      <c r="F35" s="120">
        <v>6.33</v>
      </c>
      <c r="G35" s="121">
        <f>E35*F35</f>
        <v>6.33</v>
      </c>
      <c r="H35" s="122"/>
      <c r="I35" s="107"/>
    </row>
    <row r="36" spans="1:9" s="113" customFormat="1" ht="30" customHeight="1">
      <c r="A36" s="115">
        <v>2</v>
      </c>
      <c r="B36" s="144">
        <v>93591</v>
      </c>
      <c r="C36" s="117" t="s">
        <v>300</v>
      </c>
      <c r="D36" s="118" t="s">
        <v>228</v>
      </c>
      <c r="E36" s="119">
        <v>28</v>
      </c>
      <c r="F36" s="120">
        <v>2.78</v>
      </c>
      <c r="G36" s="121">
        <f>E36*F36</f>
        <v>77.84</v>
      </c>
      <c r="H36" s="122"/>
      <c r="I36" s="128"/>
    </row>
    <row r="37" spans="1:9" s="113" customFormat="1" ht="20.100000000000001" customHeight="1">
      <c r="A37" s="2434" t="s">
        <v>524</v>
      </c>
      <c r="B37" s="2435"/>
      <c r="C37" s="2435"/>
      <c r="D37" s="2435"/>
      <c r="E37" s="2435"/>
      <c r="F37" s="2435"/>
      <c r="G37" s="438">
        <f>SUM(G35:G36)</f>
        <v>84.17</v>
      </c>
      <c r="H37" s="123"/>
      <c r="I37" s="107"/>
    </row>
    <row r="38" spans="1:9" s="113" customFormat="1" ht="20.100000000000001" customHeight="1">
      <c r="A38" s="2429" t="s">
        <v>48</v>
      </c>
      <c r="B38" s="2430"/>
      <c r="C38" s="2430"/>
      <c r="D38" s="2430"/>
      <c r="E38" s="2430"/>
      <c r="F38" s="2430"/>
      <c r="G38" s="2431"/>
      <c r="H38" s="129"/>
      <c r="I38" s="107"/>
    </row>
    <row r="39" spans="1:9" s="113" customFormat="1" ht="20.100000000000001" customHeight="1">
      <c r="A39" s="124" t="s">
        <v>35</v>
      </c>
      <c r="B39" s="118"/>
      <c r="C39" s="118" t="s">
        <v>49</v>
      </c>
      <c r="D39" s="2445" t="s">
        <v>39</v>
      </c>
      <c r="E39" s="2446"/>
      <c r="F39" s="2446"/>
      <c r="G39" s="2447"/>
      <c r="H39" s="114"/>
      <c r="I39" s="107"/>
    </row>
    <row r="40" spans="1:9" s="113" customFormat="1" ht="20.100000000000001" customHeight="1">
      <c r="A40" s="124" t="s">
        <v>50</v>
      </c>
      <c r="B40" s="118"/>
      <c r="C40" s="118" t="s">
        <v>51</v>
      </c>
      <c r="D40" s="2432" t="s">
        <v>52</v>
      </c>
      <c r="E40" s="2432"/>
      <c r="F40" s="2432"/>
      <c r="G40" s="125">
        <f>G16</f>
        <v>0.46</v>
      </c>
      <c r="H40" s="114"/>
      <c r="I40" s="107"/>
    </row>
    <row r="41" spans="1:9" s="113" customFormat="1" ht="20.100000000000001" customHeight="1">
      <c r="A41" s="124" t="s">
        <v>53</v>
      </c>
      <c r="B41" s="118"/>
      <c r="C41" s="118" t="s">
        <v>54</v>
      </c>
      <c r="D41" s="2432" t="s">
        <v>55</v>
      </c>
      <c r="E41" s="2432"/>
      <c r="F41" s="2432"/>
      <c r="G41" s="125">
        <f>G30</f>
        <v>55.09</v>
      </c>
      <c r="H41" s="114"/>
      <c r="I41" s="107"/>
    </row>
    <row r="42" spans="1:9" s="113" customFormat="1" ht="20.100000000000001" customHeight="1">
      <c r="A42" s="124" t="s">
        <v>14</v>
      </c>
      <c r="B42" s="118"/>
      <c r="C42" s="118" t="s">
        <v>56</v>
      </c>
      <c r="D42" s="2432" t="s">
        <v>57</v>
      </c>
      <c r="E42" s="2432"/>
      <c r="F42" s="2432"/>
      <c r="G42" s="125">
        <f>G33</f>
        <v>63.65</v>
      </c>
      <c r="H42" s="114"/>
      <c r="I42" s="107"/>
    </row>
    <row r="43" spans="1:9" s="113" customFormat="1" ht="20.100000000000001" customHeight="1">
      <c r="A43" s="124" t="s">
        <v>7</v>
      </c>
      <c r="B43" s="118"/>
      <c r="C43" s="118" t="s">
        <v>525</v>
      </c>
      <c r="D43" s="2432" t="s">
        <v>526</v>
      </c>
      <c r="E43" s="2432"/>
      <c r="F43" s="2432"/>
      <c r="G43" s="125">
        <f>G37</f>
        <v>84.17</v>
      </c>
      <c r="H43" s="114"/>
      <c r="I43" s="107"/>
    </row>
    <row r="44" spans="1:9" s="113" customFormat="1" ht="20.100000000000001" customHeight="1">
      <c r="A44" s="124" t="s">
        <v>60</v>
      </c>
      <c r="B44" s="118"/>
      <c r="C44" s="130" t="s">
        <v>527</v>
      </c>
      <c r="D44" s="2433" t="s">
        <v>59</v>
      </c>
      <c r="E44" s="2433"/>
      <c r="F44" s="2433"/>
      <c r="G44" s="131">
        <f>G40+G41+G42+G43</f>
        <v>203.37</v>
      </c>
      <c r="H44" s="132">
        <v>596</v>
      </c>
      <c r="I44" s="107"/>
    </row>
    <row r="45" spans="1:9" s="113" customFormat="1" ht="20.100000000000001" customHeight="1">
      <c r="A45" s="124"/>
      <c r="B45" s="118"/>
      <c r="C45" s="130"/>
      <c r="D45" s="133" t="s">
        <v>198</v>
      </c>
      <c r="E45" s="134"/>
      <c r="F45" s="135">
        <v>0.27460000000000001</v>
      </c>
      <c r="G45" s="145">
        <f>G44*F45</f>
        <v>55.85</v>
      </c>
      <c r="H45" s="136"/>
      <c r="I45" s="107"/>
    </row>
    <row r="46" spans="1:9" s="113" customFormat="1" ht="20.100000000000001" customHeight="1" thickBot="1">
      <c r="A46" s="137"/>
      <c r="B46" s="138"/>
      <c r="C46" s="138"/>
      <c r="D46" s="2428" t="s">
        <v>61</v>
      </c>
      <c r="E46" s="2428"/>
      <c r="F46" s="2428"/>
      <c r="G46" s="139">
        <f>G44+G45</f>
        <v>259.22000000000003</v>
      </c>
      <c r="H46" s="140"/>
      <c r="I46" s="107"/>
    </row>
    <row r="47" spans="1:9">
      <c r="A47" s="141"/>
      <c r="B47" s="141"/>
      <c r="C47" s="141"/>
      <c r="D47" s="142"/>
      <c r="E47" s="142"/>
      <c r="F47" s="142"/>
      <c r="G47" s="143"/>
      <c r="H47" s="143"/>
    </row>
  </sheetData>
  <mergeCells count="25">
    <mergeCell ref="A37:F37"/>
    <mergeCell ref="D39:G39"/>
    <mergeCell ref="A3:G3"/>
    <mergeCell ref="A4:G4"/>
    <mergeCell ref="A5:G5"/>
    <mergeCell ref="A8:G8"/>
    <mergeCell ref="A31:G31"/>
    <mergeCell ref="A34:G34"/>
    <mergeCell ref="A9:A10"/>
    <mergeCell ref="C9:F10"/>
    <mergeCell ref="A11:G11"/>
    <mergeCell ref="A2:G2"/>
    <mergeCell ref="A16:F16"/>
    <mergeCell ref="A30:F30"/>
    <mergeCell ref="A33:F33"/>
    <mergeCell ref="B7:G7"/>
    <mergeCell ref="A13:G13"/>
    <mergeCell ref="A17:G17"/>
    <mergeCell ref="D46:F46"/>
    <mergeCell ref="A38:G38"/>
    <mergeCell ref="D40:F40"/>
    <mergeCell ref="D41:F41"/>
    <mergeCell ref="D42:F42"/>
    <mergeCell ref="D43:F43"/>
    <mergeCell ref="D44:F44"/>
  </mergeCells>
  <printOptions horizontalCentered="1"/>
  <pageMargins left="0.51181102362204722" right="0.51181102362204722" top="0.78740157480314965" bottom="0.78740157480314965" header="0.31496062992125984" footer="0.31496062992125984"/>
  <pageSetup paperSize="9" scale="70" orientation="portrait" r:id="rId1"/>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1:F55"/>
  <sheetViews>
    <sheetView view="pageBreakPreview" topLeftCell="A31" zoomScale="60" zoomScaleNormal="70" workbookViewId="0">
      <selection activeCell="C16" sqref="C16"/>
    </sheetView>
  </sheetViews>
  <sheetFormatPr defaultColWidth="9.28515625" defaultRowHeight="20.25"/>
  <cols>
    <col min="1" max="1" width="13.42578125" style="47" customWidth="1"/>
    <col min="2" max="2" width="77.5703125" style="47" customWidth="1"/>
    <col min="3" max="6" width="20.7109375" style="47" customWidth="1"/>
    <col min="7" max="16384" width="9.28515625" style="47"/>
  </cols>
  <sheetData>
    <row r="1" spans="1:6" s="45" customFormat="1" ht="19.5" customHeight="1">
      <c r="A1" s="2503"/>
      <c r="B1" s="2504"/>
      <c r="C1" s="2504"/>
      <c r="D1" s="2504"/>
      <c r="E1" s="2504"/>
      <c r="F1" s="2505"/>
    </row>
    <row r="2" spans="1:6" s="45" customFormat="1" ht="74.25" customHeight="1">
      <c r="A2" s="75"/>
      <c r="B2" s="76"/>
      <c r="C2" s="76"/>
      <c r="D2" s="76"/>
      <c r="E2" s="76"/>
      <c r="F2" s="77"/>
    </row>
    <row r="3" spans="1:6" s="46" customFormat="1" ht="20.100000000000001" customHeight="1">
      <c r="A3" s="2506" t="s">
        <v>18</v>
      </c>
      <c r="B3" s="2507"/>
      <c r="C3" s="2507"/>
      <c r="D3" s="2507"/>
      <c r="E3" s="2507"/>
      <c r="F3" s="2508"/>
    </row>
    <row r="4" spans="1:6" s="46" customFormat="1" ht="20.100000000000001" customHeight="1">
      <c r="A4" s="2509" t="s">
        <v>187</v>
      </c>
      <c r="B4" s="2510"/>
      <c r="C4" s="2510"/>
      <c r="D4" s="2510"/>
      <c r="E4" s="2510"/>
      <c r="F4" s="2511"/>
    </row>
    <row r="5" spans="1:6" s="46" customFormat="1" ht="19.5" customHeight="1">
      <c r="A5" s="2509" t="s">
        <v>17</v>
      </c>
      <c r="B5" s="2510"/>
      <c r="C5" s="2510"/>
      <c r="D5" s="2510"/>
      <c r="E5" s="2510"/>
      <c r="F5" s="2511"/>
    </row>
    <row r="6" spans="1:6" s="46" customFormat="1" ht="20.100000000000001" customHeight="1">
      <c r="A6" s="2491"/>
      <c r="B6" s="2492"/>
      <c r="C6" s="2492"/>
      <c r="D6" s="2492"/>
      <c r="E6" s="2492"/>
      <c r="F6" s="2493"/>
    </row>
    <row r="7" spans="1:6" ht="58.5" customHeight="1">
      <c r="A7" s="440" t="s">
        <v>700</v>
      </c>
      <c r="B7" s="2494" t="str">
        <f>'PLANILHA GERAL'!D9</f>
        <v>OBRAS DE PREVENÇÕES DE ALAGAMENTOS E CHEIAS, INFRAESTRUTURA URBANA E CONSTRUÇÕES DIVERSAS NO MUNICÍPIO DE ANANINDEUA/PA</v>
      </c>
      <c r="C7" s="2495"/>
      <c r="D7" s="2495"/>
      <c r="E7" s="2495"/>
      <c r="F7" s="2496"/>
    </row>
    <row r="8" spans="1:6" s="46" customFormat="1" ht="20.100000000000001" customHeight="1" thickBot="1">
      <c r="A8" s="2512"/>
      <c r="B8" s="2513"/>
      <c r="C8" s="2513"/>
      <c r="D8" s="2513"/>
      <c r="E8" s="2513"/>
      <c r="F8" s="2514"/>
    </row>
    <row r="9" spans="1:6" ht="34.5" customHeight="1" thickTop="1" thickBot="1">
      <c r="A9" s="2488" t="s">
        <v>542</v>
      </c>
      <c r="B9" s="2489"/>
      <c r="C9" s="2489"/>
      <c r="D9" s="2489"/>
      <c r="E9" s="2489"/>
      <c r="F9" s="2490"/>
    </row>
    <row r="10" spans="1:6" ht="18.75" customHeight="1" thickTop="1">
      <c r="A10" s="2497"/>
      <c r="B10" s="2498"/>
      <c r="C10" s="2498"/>
      <c r="D10" s="2498"/>
      <c r="E10" s="2498"/>
      <c r="F10" s="2499"/>
    </row>
    <row r="11" spans="1:6" ht="30" customHeight="1">
      <c r="A11" s="2485" t="s">
        <v>543</v>
      </c>
      <c r="B11" s="2486"/>
      <c r="C11" s="2486"/>
      <c r="D11" s="2486"/>
      <c r="E11" s="2486"/>
      <c r="F11" s="2487"/>
    </row>
    <row r="12" spans="1:6">
      <c r="A12" s="2480" t="s">
        <v>66</v>
      </c>
      <c r="B12" s="2482" t="s">
        <v>67</v>
      </c>
      <c r="C12" s="2500" t="s">
        <v>258</v>
      </c>
      <c r="D12" s="2501"/>
      <c r="E12" s="2500" t="s">
        <v>259</v>
      </c>
      <c r="F12" s="2502"/>
    </row>
    <row r="13" spans="1:6" s="45" customFormat="1">
      <c r="A13" s="2480"/>
      <c r="B13" s="2483"/>
      <c r="C13" s="412" t="s">
        <v>68</v>
      </c>
      <c r="D13" s="412" t="s">
        <v>69</v>
      </c>
      <c r="E13" s="412" t="s">
        <v>68</v>
      </c>
      <c r="F13" s="441" t="s">
        <v>69</v>
      </c>
    </row>
    <row r="14" spans="1:6" s="45" customFormat="1">
      <c r="A14" s="2481"/>
      <c r="B14" s="2484"/>
      <c r="C14" s="413" t="s">
        <v>210</v>
      </c>
      <c r="D14" s="413" t="s">
        <v>210</v>
      </c>
      <c r="E14" s="413" t="s">
        <v>210</v>
      </c>
      <c r="F14" s="442" t="s">
        <v>210</v>
      </c>
    </row>
    <row r="15" spans="1:6" s="45" customFormat="1" ht="24.75" customHeight="1">
      <c r="A15" s="2471" t="s">
        <v>70</v>
      </c>
      <c r="B15" s="2472"/>
      <c r="C15" s="2475"/>
      <c r="D15" s="2476"/>
      <c r="F15" s="48"/>
    </row>
    <row r="16" spans="1:6" s="45" customFormat="1" ht="25.15" customHeight="1">
      <c r="A16" s="49" t="s">
        <v>71</v>
      </c>
      <c r="B16" s="50" t="s">
        <v>72</v>
      </c>
      <c r="C16" s="51">
        <v>0</v>
      </c>
      <c r="D16" s="51">
        <v>0</v>
      </c>
      <c r="E16" s="51">
        <v>20</v>
      </c>
      <c r="F16" s="52">
        <v>20</v>
      </c>
    </row>
    <row r="17" spans="1:6" s="45" customFormat="1" ht="25.15" customHeight="1">
      <c r="A17" s="49" t="s">
        <v>73</v>
      </c>
      <c r="B17" s="50" t="s">
        <v>74</v>
      </c>
      <c r="C17" s="51">
        <v>1.5</v>
      </c>
      <c r="D17" s="51">
        <v>1.5</v>
      </c>
      <c r="E17" s="51">
        <v>1.5</v>
      </c>
      <c r="F17" s="52">
        <v>1.5</v>
      </c>
    </row>
    <row r="18" spans="1:6" s="45" customFormat="1" ht="25.15" customHeight="1">
      <c r="A18" s="49" t="s">
        <v>75</v>
      </c>
      <c r="B18" s="50" t="s">
        <v>76</v>
      </c>
      <c r="C18" s="51">
        <v>1</v>
      </c>
      <c r="D18" s="51">
        <v>1</v>
      </c>
      <c r="E18" s="51">
        <v>1</v>
      </c>
      <c r="F18" s="52">
        <v>1</v>
      </c>
    </row>
    <row r="19" spans="1:6" s="45" customFormat="1" ht="25.15" customHeight="1">
      <c r="A19" s="49" t="s">
        <v>77</v>
      </c>
      <c r="B19" s="50" t="s">
        <v>78</v>
      </c>
      <c r="C19" s="51">
        <v>0.2</v>
      </c>
      <c r="D19" s="51">
        <v>0.2</v>
      </c>
      <c r="E19" s="51">
        <v>0.2</v>
      </c>
      <c r="F19" s="52">
        <v>0.2</v>
      </c>
    </row>
    <row r="20" spans="1:6" s="45" customFormat="1" ht="25.15" customHeight="1">
      <c r="A20" s="49" t="s">
        <v>79</v>
      </c>
      <c r="B20" s="50" t="s">
        <v>80</v>
      </c>
      <c r="C20" s="51">
        <v>0.6</v>
      </c>
      <c r="D20" s="51">
        <v>0.6</v>
      </c>
      <c r="E20" s="51">
        <v>0.6</v>
      </c>
      <c r="F20" s="52">
        <v>0.6</v>
      </c>
    </row>
    <row r="21" spans="1:6" s="45" customFormat="1" ht="25.15" customHeight="1">
      <c r="A21" s="49" t="s">
        <v>81</v>
      </c>
      <c r="B21" s="50" t="s">
        <v>82</v>
      </c>
      <c r="C21" s="51">
        <v>2.5</v>
      </c>
      <c r="D21" s="51">
        <v>2.5</v>
      </c>
      <c r="E21" s="51">
        <v>2.5</v>
      </c>
      <c r="F21" s="52">
        <v>2.5</v>
      </c>
    </row>
    <row r="22" spans="1:6" s="45" customFormat="1" ht="25.15" customHeight="1">
      <c r="A22" s="49" t="s">
        <v>83</v>
      </c>
      <c r="B22" s="50" t="s">
        <v>84</v>
      </c>
      <c r="C22" s="51">
        <v>3</v>
      </c>
      <c r="D22" s="51">
        <v>3</v>
      </c>
      <c r="E22" s="51">
        <v>3</v>
      </c>
      <c r="F22" s="52">
        <v>3</v>
      </c>
    </row>
    <row r="23" spans="1:6" s="45" customFormat="1" ht="25.15" customHeight="1">
      <c r="A23" s="49" t="s">
        <v>85</v>
      </c>
      <c r="B23" s="50" t="s">
        <v>86</v>
      </c>
      <c r="C23" s="51">
        <v>8</v>
      </c>
      <c r="D23" s="51">
        <v>8</v>
      </c>
      <c r="E23" s="51">
        <v>8</v>
      </c>
      <c r="F23" s="52">
        <v>8</v>
      </c>
    </row>
    <row r="24" spans="1:6" s="45" customFormat="1" ht="25.15" customHeight="1">
      <c r="A24" s="49" t="s">
        <v>87</v>
      </c>
      <c r="B24" s="50" t="s">
        <v>88</v>
      </c>
      <c r="C24" s="51">
        <v>0</v>
      </c>
      <c r="D24" s="51">
        <v>0</v>
      </c>
      <c r="E24" s="51">
        <v>0</v>
      </c>
      <c r="F24" s="52">
        <v>0</v>
      </c>
    </row>
    <row r="25" spans="1:6" s="45" customFormat="1" ht="25.15" customHeight="1">
      <c r="A25" s="53" t="s">
        <v>50</v>
      </c>
      <c r="B25" s="54" t="s">
        <v>89</v>
      </c>
      <c r="C25" s="55">
        <f>SUM(C16:C24)</f>
        <v>16.8</v>
      </c>
      <c r="D25" s="55">
        <f>SUM(D16:D24)</f>
        <v>16.8</v>
      </c>
      <c r="E25" s="55">
        <f>SUM(E16:E24)</f>
        <v>36.799999999999997</v>
      </c>
      <c r="F25" s="56">
        <f>SUM(F16:F24)</f>
        <v>36.799999999999997</v>
      </c>
    </row>
    <row r="26" spans="1:6" s="45" customFormat="1" ht="24.75" customHeight="1">
      <c r="A26" s="2471" t="s">
        <v>90</v>
      </c>
      <c r="B26" s="2472"/>
      <c r="C26" s="2472"/>
      <c r="D26" s="2473"/>
      <c r="F26" s="48"/>
    </row>
    <row r="27" spans="1:6" s="45" customFormat="1" ht="25.15" customHeight="1">
      <c r="A27" s="49" t="s">
        <v>91</v>
      </c>
      <c r="B27" s="50" t="s">
        <v>92</v>
      </c>
      <c r="C27" s="57">
        <v>18.149999999999999</v>
      </c>
      <c r="D27" s="57">
        <v>0</v>
      </c>
      <c r="E27" s="57">
        <v>18.149999999999999</v>
      </c>
      <c r="F27" s="57">
        <v>0</v>
      </c>
    </row>
    <row r="28" spans="1:6" s="45" customFormat="1" ht="25.15" customHeight="1">
      <c r="A28" s="49" t="s">
        <v>93</v>
      </c>
      <c r="B28" s="50" t="s">
        <v>94</v>
      </c>
      <c r="C28" s="57">
        <v>4.16</v>
      </c>
      <c r="D28" s="57">
        <v>0</v>
      </c>
      <c r="E28" s="57">
        <v>4.16</v>
      </c>
      <c r="F28" s="57">
        <v>0</v>
      </c>
    </row>
    <row r="29" spans="1:6" s="45" customFormat="1" ht="25.15" customHeight="1">
      <c r="A29" s="49" t="s">
        <v>95</v>
      </c>
      <c r="B29" s="50" t="s">
        <v>96</v>
      </c>
      <c r="C29" s="57">
        <v>0.88</v>
      </c>
      <c r="D29" s="57">
        <v>0.64</v>
      </c>
      <c r="E29" s="57">
        <v>0.88</v>
      </c>
      <c r="F29" s="57">
        <v>0.64</v>
      </c>
    </row>
    <row r="30" spans="1:6" s="45" customFormat="1" ht="25.15" customHeight="1">
      <c r="A30" s="49" t="s">
        <v>97</v>
      </c>
      <c r="B30" s="50" t="s">
        <v>98</v>
      </c>
      <c r="C30" s="57">
        <v>11.38</v>
      </c>
      <c r="D30" s="57">
        <v>8.33</v>
      </c>
      <c r="E30" s="57">
        <v>11.38</v>
      </c>
      <c r="F30" s="57">
        <v>8.33</v>
      </c>
    </row>
    <row r="31" spans="1:6" s="45" customFormat="1" ht="25.15" customHeight="1">
      <c r="A31" s="49" t="s">
        <v>99</v>
      </c>
      <c r="B31" s="50" t="s">
        <v>100</v>
      </c>
      <c r="C31" s="57">
        <v>0.06</v>
      </c>
      <c r="D31" s="57">
        <v>0.04</v>
      </c>
      <c r="E31" s="57">
        <v>0.06</v>
      </c>
      <c r="F31" s="57">
        <v>0.04</v>
      </c>
    </row>
    <row r="32" spans="1:6" s="45" customFormat="1" ht="25.15" customHeight="1">
      <c r="A32" s="49" t="s">
        <v>101</v>
      </c>
      <c r="B32" s="50" t="s">
        <v>102</v>
      </c>
      <c r="C32" s="57">
        <v>0.76</v>
      </c>
      <c r="D32" s="57">
        <v>0.56000000000000005</v>
      </c>
      <c r="E32" s="57">
        <v>0.76</v>
      </c>
      <c r="F32" s="57">
        <v>0.56000000000000005</v>
      </c>
    </row>
    <row r="33" spans="1:6" s="45" customFormat="1" ht="25.15" customHeight="1">
      <c r="A33" s="49" t="s">
        <v>103</v>
      </c>
      <c r="B33" s="50" t="s">
        <v>104</v>
      </c>
      <c r="C33" s="57">
        <v>2.87</v>
      </c>
      <c r="D33" s="57">
        <v>0</v>
      </c>
      <c r="E33" s="57">
        <v>2.87</v>
      </c>
      <c r="F33" s="57">
        <v>0</v>
      </c>
    </row>
    <row r="34" spans="1:6" s="45" customFormat="1" ht="25.15" customHeight="1">
      <c r="A34" s="49" t="s">
        <v>105</v>
      </c>
      <c r="B34" s="50" t="s">
        <v>106</v>
      </c>
      <c r="C34" s="57">
        <v>0.1</v>
      </c>
      <c r="D34" s="57">
        <v>0.08</v>
      </c>
      <c r="E34" s="57">
        <v>0.1</v>
      </c>
      <c r="F34" s="57">
        <v>0.08</v>
      </c>
    </row>
    <row r="35" spans="1:6" s="45" customFormat="1" ht="25.15" customHeight="1">
      <c r="A35" s="49" t="s">
        <v>107</v>
      </c>
      <c r="B35" s="50" t="s">
        <v>108</v>
      </c>
      <c r="C35" s="57">
        <v>0</v>
      </c>
      <c r="D35" s="57">
        <v>0</v>
      </c>
      <c r="E35" s="57">
        <v>0</v>
      </c>
      <c r="F35" s="57">
        <v>0</v>
      </c>
    </row>
    <row r="36" spans="1:6" s="45" customFormat="1" ht="25.15" customHeight="1">
      <c r="A36" s="49" t="s">
        <v>109</v>
      </c>
      <c r="B36" s="50" t="s">
        <v>110</v>
      </c>
      <c r="C36" s="57">
        <v>0.04</v>
      </c>
      <c r="D36" s="57">
        <v>0.03</v>
      </c>
      <c r="E36" s="57">
        <v>0.04</v>
      </c>
      <c r="F36" s="57">
        <v>0.03</v>
      </c>
    </row>
    <row r="37" spans="1:6" s="45" customFormat="1" ht="25.15" customHeight="1">
      <c r="A37" s="53" t="s">
        <v>53</v>
      </c>
      <c r="B37" s="54" t="s">
        <v>111</v>
      </c>
      <c r="C37" s="58">
        <f>SUM(C27:C36)</f>
        <v>38.4</v>
      </c>
      <c r="D37" s="58">
        <f>SUM(D27:D36)</f>
        <v>9.68</v>
      </c>
      <c r="E37" s="58">
        <f>SUM(E27:E36)</f>
        <v>38.4</v>
      </c>
      <c r="F37" s="59">
        <f>SUM(F27:F36)</f>
        <v>9.68</v>
      </c>
    </row>
    <row r="38" spans="1:6" s="45" customFormat="1" ht="24.75" customHeight="1">
      <c r="A38" s="2471" t="s">
        <v>112</v>
      </c>
      <c r="B38" s="2472"/>
      <c r="C38" s="2472"/>
      <c r="D38" s="2473"/>
      <c r="F38" s="48"/>
    </row>
    <row r="39" spans="1:6" s="45" customFormat="1" ht="25.15" customHeight="1">
      <c r="A39" s="49" t="s">
        <v>113</v>
      </c>
      <c r="B39" s="50" t="s">
        <v>114</v>
      </c>
      <c r="C39" s="57">
        <v>5.89</v>
      </c>
      <c r="D39" s="57">
        <v>4.32</v>
      </c>
      <c r="E39" s="57">
        <v>5.89</v>
      </c>
      <c r="F39" s="60">
        <v>4.32</v>
      </c>
    </row>
    <row r="40" spans="1:6" s="45" customFormat="1" ht="25.15" customHeight="1">
      <c r="A40" s="49" t="s">
        <v>115</v>
      </c>
      <c r="B40" s="50" t="s">
        <v>116</v>
      </c>
      <c r="C40" s="57">
        <v>0.14000000000000001</v>
      </c>
      <c r="D40" s="57">
        <v>0.1</v>
      </c>
      <c r="E40" s="57">
        <v>0.14000000000000001</v>
      </c>
      <c r="F40" s="60">
        <v>0.1</v>
      </c>
    </row>
    <row r="41" spans="1:6" s="45" customFormat="1" ht="25.15" customHeight="1">
      <c r="A41" s="49" t="s">
        <v>117</v>
      </c>
      <c r="B41" s="50" t="s">
        <v>118</v>
      </c>
      <c r="C41" s="57">
        <v>12.65</v>
      </c>
      <c r="D41" s="57">
        <v>9.27</v>
      </c>
      <c r="E41" s="57">
        <v>12.65</v>
      </c>
      <c r="F41" s="60">
        <v>9.27</v>
      </c>
    </row>
    <row r="42" spans="1:6" s="45" customFormat="1" ht="25.15" customHeight="1">
      <c r="A42" s="49" t="s">
        <v>119</v>
      </c>
      <c r="B42" s="50" t="s">
        <v>120</v>
      </c>
      <c r="C42" s="57">
        <v>2.5499999999999998</v>
      </c>
      <c r="D42" s="57">
        <v>1.87</v>
      </c>
      <c r="E42" s="57">
        <v>2.5499999999999998</v>
      </c>
      <c r="F42" s="60">
        <v>1.87</v>
      </c>
    </row>
    <row r="43" spans="1:6" s="45" customFormat="1" ht="25.15" customHeight="1">
      <c r="A43" s="49" t="s">
        <v>121</v>
      </c>
      <c r="B43" s="50" t="s">
        <v>122</v>
      </c>
      <c r="C43" s="57">
        <v>0.5</v>
      </c>
      <c r="D43" s="57">
        <v>0.36</v>
      </c>
      <c r="E43" s="57">
        <v>0.5</v>
      </c>
      <c r="F43" s="60">
        <v>0.36</v>
      </c>
    </row>
    <row r="44" spans="1:6" s="45" customFormat="1" ht="25.15" customHeight="1">
      <c r="A44" s="53" t="s">
        <v>14</v>
      </c>
      <c r="B44" s="54" t="s">
        <v>123</v>
      </c>
      <c r="C44" s="58">
        <f>SUM(C39:C43)</f>
        <v>21.73</v>
      </c>
      <c r="D44" s="58">
        <f>SUM(D39:D43)</f>
        <v>15.92</v>
      </c>
      <c r="E44" s="58">
        <f>SUM(E39:E43)</f>
        <v>21.73</v>
      </c>
      <c r="F44" s="59">
        <f>SUM(F39:F43)</f>
        <v>15.92</v>
      </c>
    </row>
    <row r="45" spans="1:6" s="45" customFormat="1" ht="24.75" customHeight="1">
      <c r="A45" s="2471" t="s">
        <v>124</v>
      </c>
      <c r="B45" s="2472"/>
      <c r="C45" s="2472"/>
      <c r="D45" s="2473"/>
      <c r="F45" s="48"/>
    </row>
    <row r="46" spans="1:6" s="45" customFormat="1" ht="25.15" customHeight="1">
      <c r="A46" s="49" t="s">
        <v>125</v>
      </c>
      <c r="B46" s="50" t="s">
        <v>126</v>
      </c>
      <c r="C46" s="57">
        <v>6.45</v>
      </c>
      <c r="D46" s="57">
        <v>1.63</v>
      </c>
      <c r="E46" s="57">
        <v>14.13</v>
      </c>
      <c r="F46" s="60">
        <v>3.56</v>
      </c>
    </row>
    <row r="47" spans="1:6" s="45" customFormat="1" ht="40.5">
      <c r="A47" s="49" t="s">
        <v>127</v>
      </c>
      <c r="B47" s="74" t="s">
        <v>544</v>
      </c>
      <c r="C47" s="61">
        <v>0.49</v>
      </c>
      <c r="D47" s="61">
        <v>0.36</v>
      </c>
      <c r="E47" s="61">
        <v>0.52</v>
      </c>
      <c r="F47" s="62">
        <v>0.38</v>
      </c>
    </row>
    <row r="48" spans="1:6" s="45" customFormat="1" ht="25.15" customHeight="1" thickBot="1">
      <c r="A48" s="63" t="s">
        <v>7</v>
      </c>
      <c r="B48" s="64" t="s">
        <v>128</v>
      </c>
      <c r="C48" s="65">
        <f>SUM(C46:C47)</f>
        <v>6.94</v>
      </c>
      <c r="D48" s="65">
        <f>SUM(D46:D47)</f>
        <v>1.99</v>
      </c>
      <c r="E48" s="65">
        <f>SUM(E46:E47)</f>
        <v>14.65</v>
      </c>
      <c r="F48" s="66">
        <f>SUM(F46:F47)</f>
        <v>3.94</v>
      </c>
    </row>
    <row r="49" spans="1:6" s="45" customFormat="1" ht="24.75" hidden="1" customHeight="1">
      <c r="A49" s="2474" t="s">
        <v>129</v>
      </c>
      <c r="B49" s="2475"/>
      <c r="C49" s="2475"/>
      <c r="D49" s="2476"/>
      <c r="F49" s="48"/>
    </row>
    <row r="50" spans="1:6" s="45" customFormat="1" hidden="1">
      <c r="A50" s="49" t="s">
        <v>130</v>
      </c>
      <c r="B50" s="50"/>
      <c r="C50" s="50"/>
      <c r="D50" s="50"/>
      <c r="E50" s="50"/>
      <c r="F50" s="67"/>
    </row>
    <row r="51" spans="1:6" s="45" customFormat="1" ht="18.75" hidden="1" customHeight="1">
      <c r="A51" s="68" t="s">
        <v>60</v>
      </c>
      <c r="B51" s="69" t="s">
        <v>131</v>
      </c>
      <c r="C51" s="70">
        <v>0</v>
      </c>
      <c r="D51" s="70">
        <v>0</v>
      </c>
      <c r="E51" s="70">
        <v>0</v>
      </c>
      <c r="F51" s="71">
        <v>0</v>
      </c>
    </row>
    <row r="52" spans="1:6" s="45" customFormat="1" ht="35.1" customHeight="1" thickBot="1">
      <c r="A52" s="2477" t="s">
        <v>260</v>
      </c>
      <c r="B52" s="2478"/>
      <c r="C52" s="72">
        <f>(C25+C37+C44+C48)</f>
        <v>83.87</v>
      </c>
      <c r="D52" s="72">
        <f>D25+D37+D44+D48</f>
        <v>44.39</v>
      </c>
      <c r="E52" s="72">
        <f>(E25+E37+E44+E48)</f>
        <v>111.58</v>
      </c>
      <c r="F52" s="73">
        <f>F25+F37+F44+F48</f>
        <v>66.34</v>
      </c>
    </row>
    <row r="53" spans="1:6" s="45" customFormat="1" ht="18.75" customHeight="1">
      <c r="A53" s="2479" t="s">
        <v>1838</v>
      </c>
      <c r="B53" s="2479"/>
      <c r="C53" s="2479"/>
      <c r="D53" s="2479"/>
    </row>
    <row r="54" spans="1:6" s="45" customFormat="1"/>
    <row r="55" spans="1:6" s="45" customFormat="1" ht="21" customHeight="1">
      <c r="A55" s="45" t="s">
        <v>132</v>
      </c>
    </row>
  </sheetData>
  <mergeCells count="21">
    <mergeCell ref="A1:F1"/>
    <mergeCell ref="A3:F3"/>
    <mergeCell ref="A4:F4"/>
    <mergeCell ref="A5:F5"/>
    <mergeCell ref="A8:F8"/>
    <mergeCell ref="A9:F9"/>
    <mergeCell ref="A6:F6"/>
    <mergeCell ref="B7:F7"/>
    <mergeCell ref="A10:F10"/>
    <mergeCell ref="C12:D12"/>
    <mergeCell ref="E12:F12"/>
    <mergeCell ref="A15:D15"/>
    <mergeCell ref="A12:A14"/>
    <mergeCell ref="B12:B14"/>
    <mergeCell ref="A11:F11"/>
    <mergeCell ref="A26:D26"/>
    <mergeCell ref="A38:D38"/>
    <mergeCell ref="A45:D45"/>
    <mergeCell ref="A49:D49"/>
    <mergeCell ref="A52:B52"/>
    <mergeCell ref="A53:D53"/>
  </mergeCells>
  <printOptions horizontalCentered="1"/>
  <pageMargins left="0.51181102362204722" right="0.51181102362204722" top="0.78740157480314965" bottom="0.78740157480314965" header="0.31496062992125984" footer="0.31496062992125984"/>
  <pageSetup paperSize="9" scale="54"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A1:K52"/>
  <sheetViews>
    <sheetView view="pageBreakPreview" topLeftCell="A25" zoomScale="60" zoomScaleNormal="100" workbookViewId="0">
      <selection activeCell="A14" sqref="A14:G14"/>
    </sheetView>
  </sheetViews>
  <sheetFormatPr defaultColWidth="9.28515625" defaultRowHeight="14.25"/>
  <cols>
    <col min="1" max="8" width="20.7109375" style="79" customWidth="1"/>
    <col min="9" max="9" width="9.28515625" style="79"/>
    <col min="10" max="10" width="16.7109375" style="79" customWidth="1"/>
    <col min="11" max="11" width="18.28515625" style="79" customWidth="1"/>
    <col min="12" max="16384" width="9.28515625" style="79"/>
  </cols>
  <sheetData>
    <row r="1" spans="1:9" ht="13.5" customHeight="1">
      <c r="A1" s="2515"/>
      <c r="B1" s="2516"/>
      <c r="C1" s="2516"/>
      <c r="D1" s="2516"/>
      <c r="E1" s="2516"/>
      <c r="F1" s="2516"/>
      <c r="G1" s="2516"/>
      <c r="H1" s="2517"/>
      <c r="I1" s="78"/>
    </row>
    <row r="2" spans="1:9" ht="69" customHeight="1">
      <c r="A2" s="80"/>
      <c r="B2" s="443"/>
      <c r="C2" s="443"/>
      <c r="D2" s="443"/>
      <c r="E2" s="443"/>
      <c r="F2" s="443"/>
      <c r="G2" s="443"/>
      <c r="H2" s="81"/>
      <c r="I2" s="82"/>
    </row>
    <row r="3" spans="1:9" ht="20.100000000000001" customHeight="1">
      <c r="A3" s="2518" t="s">
        <v>18</v>
      </c>
      <c r="B3" s="2519"/>
      <c r="C3" s="2519"/>
      <c r="D3" s="2519"/>
      <c r="E3" s="2519"/>
      <c r="F3" s="2519"/>
      <c r="G3" s="2519"/>
      <c r="H3" s="2520"/>
      <c r="I3" s="83"/>
    </row>
    <row r="4" spans="1:9" ht="20.100000000000001" customHeight="1">
      <c r="A4" s="2521" t="s">
        <v>261</v>
      </c>
      <c r="B4" s="2522"/>
      <c r="C4" s="2522"/>
      <c r="D4" s="2522"/>
      <c r="E4" s="2522"/>
      <c r="F4" s="2522"/>
      <c r="G4" s="2522"/>
      <c r="H4" s="2523"/>
      <c r="I4" s="84"/>
    </row>
    <row r="5" spans="1:9" ht="19.5" customHeight="1">
      <c r="A5" s="2521" t="s">
        <v>17</v>
      </c>
      <c r="B5" s="2522"/>
      <c r="C5" s="2522"/>
      <c r="D5" s="2522"/>
      <c r="E5" s="2522"/>
      <c r="F5" s="2522"/>
      <c r="G5" s="2522"/>
      <c r="H5" s="2523"/>
      <c r="I5" s="85"/>
    </row>
    <row r="6" spans="1:9" ht="21" customHeight="1">
      <c r="A6" s="2527"/>
      <c r="B6" s="2528"/>
      <c r="C6" s="2528"/>
      <c r="D6" s="2528"/>
      <c r="E6" s="2528"/>
      <c r="F6" s="2528"/>
      <c r="G6" s="2528"/>
      <c r="H6" s="2529"/>
    </row>
    <row r="7" spans="1:9" ht="54.75" customHeight="1">
      <c r="A7" s="444" t="s">
        <v>700</v>
      </c>
      <c r="B7" s="2530" t="str">
        <f>'PLANILHA GERAL'!D9</f>
        <v>OBRAS DE PREVENÇÕES DE ALAGAMENTOS E CHEIAS, INFRAESTRUTURA URBANA E CONSTRUÇÕES DIVERSAS NO MUNICÍPIO DE ANANINDEUA/PA</v>
      </c>
      <c r="C7" s="2531"/>
      <c r="D7" s="2531"/>
      <c r="E7" s="2531"/>
      <c r="F7" s="2531"/>
      <c r="G7" s="2531"/>
      <c r="H7" s="2532"/>
    </row>
    <row r="8" spans="1:9" s="88" customFormat="1" ht="13.5" customHeight="1" thickBot="1">
      <c r="A8" s="86"/>
      <c r="B8" s="2524"/>
      <c r="C8" s="2524"/>
      <c r="D8" s="2524"/>
      <c r="E8" s="2525"/>
      <c r="F8" s="2525"/>
      <c r="G8" s="2525"/>
      <c r="H8" s="2526"/>
      <c r="I8" s="87"/>
    </row>
    <row r="9" spans="1:9" ht="34.5" customHeight="1" thickTop="1" thickBot="1">
      <c r="A9" s="2536" t="s">
        <v>545</v>
      </c>
      <c r="B9" s="2537"/>
      <c r="C9" s="2537"/>
      <c r="D9" s="2537"/>
      <c r="E9" s="2537"/>
      <c r="F9" s="2537"/>
      <c r="G9" s="2537"/>
      <c r="H9" s="2538"/>
    </row>
    <row r="10" spans="1:9" ht="13.5" customHeight="1" thickTop="1">
      <c r="A10" s="2539"/>
      <c r="B10" s="2540"/>
      <c r="C10" s="2540"/>
      <c r="D10" s="2540"/>
      <c r="E10" s="2540"/>
      <c r="F10" s="2540"/>
      <c r="G10" s="2540"/>
      <c r="H10" s="2541"/>
    </row>
    <row r="11" spans="1:9" ht="69.75" customHeight="1">
      <c r="A11" s="2542"/>
      <c r="B11" s="2543"/>
      <c r="C11" s="2543"/>
      <c r="D11" s="2543"/>
      <c r="E11" s="2543"/>
      <c r="F11" s="2543"/>
      <c r="G11" s="2544"/>
      <c r="H11" s="594" t="s">
        <v>237</v>
      </c>
    </row>
    <row r="12" spans="1:9" s="89" customFormat="1" ht="30" customHeight="1">
      <c r="A12" s="445">
        <v>1</v>
      </c>
      <c r="B12" s="2533" t="s">
        <v>546</v>
      </c>
      <c r="C12" s="2534"/>
      <c r="D12" s="2534"/>
      <c r="E12" s="2534"/>
      <c r="F12" s="2534"/>
      <c r="G12" s="2535"/>
      <c r="H12" s="446">
        <v>4.01</v>
      </c>
    </row>
    <row r="13" spans="1:9" s="89" customFormat="1" ht="30" customHeight="1">
      <c r="A13" s="445">
        <v>2</v>
      </c>
      <c r="B13" s="2533" t="s">
        <v>548</v>
      </c>
      <c r="C13" s="2534"/>
      <c r="D13" s="2534"/>
      <c r="E13" s="2534"/>
      <c r="F13" s="2534"/>
      <c r="G13" s="2535"/>
      <c r="H13" s="446">
        <v>1.1100000000000001</v>
      </c>
    </row>
    <row r="14" spans="1:9" s="89" customFormat="1" ht="30" customHeight="1">
      <c r="A14" s="2545" t="s">
        <v>549</v>
      </c>
      <c r="B14" s="2546"/>
      <c r="C14" s="2546"/>
      <c r="D14" s="2546"/>
      <c r="E14" s="2546"/>
      <c r="F14" s="2546"/>
      <c r="G14" s="2547"/>
      <c r="H14" s="447">
        <f>H12+H13</f>
        <v>5.12</v>
      </c>
    </row>
    <row r="15" spans="1:9" s="89" customFormat="1" ht="30" customHeight="1">
      <c r="A15" s="2548" t="s">
        <v>135</v>
      </c>
      <c r="B15" s="2549"/>
      <c r="C15" s="2549"/>
      <c r="D15" s="2549"/>
      <c r="E15" s="2549"/>
      <c r="F15" s="2549"/>
      <c r="G15" s="2549"/>
      <c r="H15" s="2550"/>
    </row>
    <row r="16" spans="1:9" s="89" customFormat="1" ht="30" customHeight="1">
      <c r="A16" s="448">
        <v>3</v>
      </c>
      <c r="B16" s="2533" t="s">
        <v>547</v>
      </c>
      <c r="C16" s="2534"/>
      <c r="D16" s="2534"/>
      <c r="E16" s="2534"/>
      <c r="F16" s="2534"/>
      <c r="G16" s="2535"/>
      <c r="H16" s="446">
        <v>0.56000000000000005</v>
      </c>
    </row>
    <row r="17" spans="1:8" s="89" customFormat="1" ht="30" customHeight="1">
      <c r="A17" s="448">
        <v>4</v>
      </c>
      <c r="B17" s="2533" t="s">
        <v>550</v>
      </c>
      <c r="C17" s="2534"/>
      <c r="D17" s="2534"/>
      <c r="E17" s="2534"/>
      <c r="F17" s="2534"/>
      <c r="G17" s="2535"/>
      <c r="H17" s="446">
        <v>0.4</v>
      </c>
    </row>
    <row r="18" spans="1:8" s="89" customFormat="1" ht="30" customHeight="1">
      <c r="A18" s="2545" t="s">
        <v>549</v>
      </c>
      <c r="B18" s="2546"/>
      <c r="C18" s="2546"/>
      <c r="D18" s="2546"/>
      <c r="E18" s="2546"/>
      <c r="F18" s="2546"/>
      <c r="G18" s="2547"/>
      <c r="H18" s="447">
        <f>H16+H17</f>
        <v>0.96</v>
      </c>
    </row>
    <row r="19" spans="1:8" s="89" customFormat="1" ht="30" customHeight="1">
      <c r="A19" s="2551" t="s">
        <v>133</v>
      </c>
      <c r="B19" s="2552"/>
      <c r="C19" s="2552"/>
      <c r="D19" s="2552"/>
      <c r="E19" s="2552"/>
      <c r="F19" s="2552"/>
      <c r="G19" s="2553"/>
      <c r="H19" s="607" t="s">
        <v>134</v>
      </c>
    </row>
    <row r="20" spans="1:8" s="89" customFormat="1" ht="30" customHeight="1">
      <c r="A20" s="445">
        <v>5</v>
      </c>
      <c r="B20" s="2533" t="s">
        <v>136</v>
      </c>
      <c r="C20" s="2534"/>
      <c r="D20" s="2534"/>
      <c r="E20" s="2534"/>
      <c r="F20" s="2534"/>
      <c r="G20" s="2535"/>
      <c r="H20" s="449"/>
    </row>
    <row r="21" spans="1:8" s="89" customFormat="1" ht="30" customHeight="1">
      <c r="A21" s="445" t="s">
        <v>13</v>
      </c>
      <c r="B21" s="2533" t="s">
        <v>553</v>
      </c>
      <c r="C21" s="2534"/>
      <c r="D21" s="2534"/>
      <c r="E21" s="2534"/>
      <c r="F21" s="2534"/>
      <c r="G21" s="2535"/>
      <c r="H21" s="446">
        <f>H27</f>
        <v>8.15</v>
      </c>
    </row>
    <row r="22" spans="1:8" s="89" customFormat="1" ht="30" customHeight="1">
      <c r="A22" s="445" t="s">
        <v>144</v>
      </c>
      <c r="B22" s="2533" t="s">
        <v>555</v>
      </c>
      <c r="C22" s="2534"/>
      <c r="D22" s="2534"/>
      <c r="E22" s="2534"/>
      <c r="F22" s="2534"/>
      <c r="G22" s="2535"/>
      <c r="H22" s="446">
        <v>2.5</v>
      </c>
    </row>
    <row r="23" spans="1:8" s="89" customFormat="1" ht="30" customHeight="1">
      <c r="A23" s="2545" t="s">
        <v>549</v>
      </c>
      <c r="B23" s="2546"/>
      <c r="C23" s="2546"/>
      <c r="D23" s="2546"/>
      <c r="E23" s="2546"/>
      <c r="F23" s="2546"/>
      <c r="G23" s="2547"/>
      <c r="H23" s="447">
        <f>H21+H22</f>
        <v>10.65</v>
      </c>
    </row>
    <row r="24" spans="1:8" s="89" customFormat="1" ht="30" customHeight="1" thickBot="1">
      <c r="A24" s="450">
        <v>6</v>
      </c>
      <c r="B24" s="2557" t="s">
        <v>551</v>
      </c>
      <c r="C24" s="2558"/>
      <c r="D24" s="2558"/>
      <c r="E24" s="2558"/>
      <c r="F24" s="2558"/>
      <c r="G24" s="2559"/>
      <c r="H24" s="451">
        <v>7.3</v>
      </c>
    </row>
    <row r="25" spans="1:8" s="89" customFormat="1" ht="25.15" customHeight="1">
      <c r="A25" s="90"/>
      <c r="B25" s="102"/>
      <c r="C25" s="102"/>
      <c r="D25" s="102"/>
      <c r="E25" s="102"/>
      <c r="F25" s="102"/>
      <c r="G25" s="102"/>
      <c r="H25" s="595"/>
    </row>
    <row r="26" spans="1:8" s="89" customFormat="1" ht="25.15" customHeight="1">
      <c r="A26" s="2560" t="s">
        <v>552</v>
      </c>
      <c r="B26" s="2561"/>
      <c r="C26" s="2561"/>
      <c r="D26" s="2561"/>
      <c r="E26" s="2561"/>
      <c r="F26" s="2561"/>
      <c r="G26" s="2561"/>
      <c r="H26" s="2562"/>
    </row>
    <row r="27" spans="1:8" s="89" customFormat="1" ht="25.15" customHeight="1">
      <c r="A27" s="596" t="s">
        <v>554</v>
      </c>
      <c r="B27" s="2563" t="s">
        <v>137</v>
      </c>
      <c r="C27" s="2563"/>
      <c r="D27" s="2563"/>
      <c r="E27" s="2563"/>
      <c r="F27" s="2563"/>
      <c r="G27" s="2563"/>
      <c r="H27" s="597">
        <f>H28+H29+H30</f>
        <v>8.15</v>
      </c>
    </row>
    <row r="28" spans="1:8" s="89" customFormat="1" ht="25.15" customHeight="1">
      <c r="A28" s="598" t="s">
        <v>138</v>
      </c>
      <c r="B28" s="2564" t="s">
        <v>139</v>
      </c>
      <c r="C28" s="2564"/>
      <c r="D28" s="2564"/>
      <c r="E28" s="2564"/>
      <c r="F28" s="2564"/>
      <c r="G28" s="2564"/>
      <c r="H28" s="599">
        <v>0.65</v>
      </c>
    </row>
    <row r="29" spans="1:8" s="89" customFormat="1" ht="25.15" customHeight="1">
      <c r="A29" s="598" t="s">
        <v>140</v>
      </c>
      <c r="B29" s="2564" t="s">
        <v>141</v>
      </c>
      <c r="C29" s="2564"/>
      <c r="D29" s="2564"/>
      <c r="E29" s="2564"/>
      <c r="F29" s="2564"/>
      <c r="G29" s="2564"/>
      <c r="H29" s="599">
        <v>3</v>
      </c>
    </row>
    <row r="30" spans="1:8" s="89" customFormat="1" ht="25.15" customHeight="1">
      <c r="A30" s="598" t="s">
        <v>238</v>
      </c>
      <c r="B30" s="2564" t="s">
        <v>239</v>
      </c>
      <c r="C30" s="2564"/>
      <c r="D30" s="2564"/>
      <c r="E30" s="2564"/>
      <c r="F30" s="2564"/>
      <c r="G30" s="2564"/>
      <c r="H30" s="599">
        <v>4.5</v>
      </c>
    </row>
    <row r="31" spans="1:8" s="89" customFormat="1" ht="25.15" customHeight="1">
      <c r="A31" s="2560" t="s">
        <v>240</v>
      </c>
      <c r="B31" s="2561"/>
      <c r="C31" s="2561"/>
      <c r="D31" s="2561"/>
      <c r="E31" s="2561"/>
      <c r="F31" s="2561"/>
      <c r="G31" s="2561"/>
      <c r="H31" s="2562"/>
    </row>
    <row r="32" spans="1:8" s="89" customFormat="1" ht="25.15" customHeight="1">
      <c r="A32" s="596" t="s">
        <v>556</v>
      </c>
      <c r="B32" s="2563" t="s">
        <v>142</v>
      </c>
      <c r="C32" s="2563"/>
      <c r="D32" s="2563"/>
      <c r="E32" s="2563"/>
      <c r="F32" s="2563"/>
      <c r="G32" s="2563"/>
      <c r="H32" s="597">
        <f>H33</f>
        <v>2.5</v>
      </c>
    </row>
    <row r="33" spans="1:11" s="89" customFormat="1" ht="25.15" customHeight="1">
      <c r="A33" s="598" t="s">
        <v>143</v>
      </c>
      <c r="B33" s="2564" t="s">
        <v>139</v>
      </c>
      <c r="C33" s="2564"/>
      <c r="D33" s="2564"/>
      <c r="E33" s="2564"/>
      <c r="F33" s="2564"/>
      <c r="G33" s="2564"/>
      <c r="H33" s="600">
        <v>2.5</v>
      </c>
    </row>
    <row r="34" spans="1:11" ht="25.15" customHeight="1">
      <c r="A34" s="91"/>
      <c r="B34" s="588"/>
      <c r="C34" s="588"/>
      <c r="D34" s="588"/>
      <c r="E34" s="588"/>
      <c r="F34" s="588"/>
      <c r="G34" s="588"/>
      <c r="H34" s="92"/>
    </row>
    <row r="35" spans="1:11" ht="25.15" customHeight="1">
      <c r="A35" s="2554" t="s">
        <v>541</v>
      </c>
      <c r="B35" s="2555"/>
      <c r="C35" s="2555"/>
      <c r="D35" s="2555"/>
      <c r="E35" s="2555"/>
      <c r="F35" s="2555"/>
      <c r="G35" s="2555"/>
      <c r="H35" s="2556"/>
    </row>
    <row r="36" spans="1:11" s="89" customFormat="1" ht="25.15" customHeight="1">
      <c r="A36" s="90" t="s">
        <v>241</v>
      </c>
      <c r="B36" s="102"/>
      <c r="C36" s="578">
        <f>H12/100</f>
        <v>4.0099999999999997E-2</v>
      </c>
      <c r="D36" s="589"/>
      <c r="E36" s="102"/>
      <c r="F36" s="102"/>
      <c r="G36" s="102"/>
      <c r="H36" s="579"/>
    </row>
    <row r="37" spans="1:11" s="89" customFormat="1" ht="25.15" customHeight="1">
      <c r="A37" s="90" t="s">
        <v>242</v>
      </c>
      <c r="B37" s="102"/>
      <c r="C37" s="578">
        <f>H17/100</f>
        <v>4.0000000000000001E-3</v>
      </c>
      <c r="D37" s="589"/>
      <c r="E37" s="581" t="s">
        <v>557</v>
      </c>
      <c r="F37" s="2572" t="s">
        <v>244</v>
      </c>
      <c r="G37" s="2572"/>
      <c r="H37" s="580">
        <f>C39</f>
        <v>1.0497000000000001</v>
      </c>
      <c r="J37" s="582">
        <f>H37*H38*H39</f>
        <v>1.1388</v>
      </c>
    </row>
    <row r="38" spans="1:11" s="89" customFormat="1" ht="25.15" customHeight="1">
      <c r="A38" s="90" t="s">
        <v>243</v>
      </c>
      <c r="B38" s="102"/>
      <c r="C38" s="578">
        <f>H16/100</f>
        <v>5.5999999999999999E-3</v>
      </c>
      <c r="D38" s="589"/>
      <c r="E38" s="581" t="s">
        <v>558</v>
      </c>
      <c r="F38" s="2572" t="s">
        <v>246</v>
      </c>
      <c r="G38" s="2572"/>
      <c r="H38" s="580">
        <f>C41</f>
        <v>1.0111000000000001</v>
      </c>
      <c r="J38" s="582">
        <f>H43-1%</f>
        <v>0.92849999999999999</v>
      </c>
    </row>
    <row r="39" spans="1:11" s="89" customFormat="1" ht="25.15" customHeight="1">
      <c r="A39" s="2569" t="s">
        <v>244</v>
      </c>
      <c r="B39" s="2570"/>
      <c r="C39" s="602">
        <f>1+C36+C37+C38</f>
        <v>1.0497000000000001</v>
      </c>
      <c r="D39" s="590"/>
      <c r="E39" s="587" t="s">
        <v>559</v>
      </c>
      <c r="F39" s="2572" t="s">
        <v>247</v>
      </c>
      <c r="G39" s="2572"/>
      <c r="H39" s="580">
        <f>C43</f>
        <v>1.073</v>
      </c>
      <c r="J39" s="582">
        <f>J37/J38</f>
        <v>1.2264999999999999</v>
      </c>
    </row>
    <row r="40" spans="1:11" s="89" customFormat="1" ht="25.15" customHeight="1">
      <c r="A40" s="586" t="s">
        <v>245</v>
      </c>
      <c r="B40" s="601"/>
      <c r="C40" s="578">
        <f>H13/100</f>
        <v>1.11E-2</v>
      </c>
      <c r="D40" s="590"/>
      <c r="E40" s="581"/>
      <c r="F40" s="102"/>
      <c r="G40" s="102"/>
      <c r="H40" s="579"/>
    </row>
    <row r="41" spans="1:11" s="89" customFormat="1" ht="25.15" customHeight="1">
      <c r="A41" s="2569" t="s">
        <v>246</v>
      </c>
      <c r="B41" s="2570"/>
      <c r="C41" s="602">
        <f>1+C40</f>
        <v>1.0111000000000001</v>
      </c>
      <c r="D41" s="590"/>
      <c r="F41" s="2571" t="s">
        <v>722</v>
      </c>
      <c r="G41" s="2571"/>
      <c r="H41" s="579">
        <f>C44-(H30/100)</f>
        <v>6.1499999999999999E-2</v>
      </c>
    </row>
    <row r="42" spans="1:11" s="89" customFormat="1" ht="25.15" customHeight="1">
      <c r="A42" s="586" t="s">
        <v>223</v>
      </c>
      <c r="B42" s="601"/>
      <c r="C42" s="578">
        <f>H24/100</f>
        <v>7.2999999999999995E-2</v>
      </c>
      <c r="D42" s="590"/>
      <c r="E42" s="581"/>
      <c r="F42" s="102"/>
      <c r="G42" s="102"/>
      <c r="H42" s="579"/>
    </row>
    <row r="43" spans="1:11" s="89" customFormat="1" ht="25.15" customHeight="1">
      <c r="A43" s="2569" t="s">
        <v>247</v>
      </c>
      <c r="B43" s="2570"/>
      <c r="C43" s="602">
        <f>1+C42</f>
        <v>1.073</v>
      </c>
      <c r="D43" s="591"/>
      <c r="E43" s="581" t="s">
        <v>560</v>
      </c>
      <c r="F43" s="2571" t="s">
        <v>723</v>
      </c>
      <c r="G43" s="2571"/>
      <c r="H43" s="580">
        <f>1-H41</f>
        <v>0.9385</v>
      </c>
    </row>
    <row r="44" spans="1:11" s="89" customFormat="1" ht="25.15" customHeight="1">
      <c r="A44" s="586" t="s">
        <v>248</v>
      </c>
      <c r="B44" s="601"/>
      <c r="C44" s="578">
        <f>H23/100</f>
        <v>0.1065</v>
      </c>
      <c r="D44" s="590"/>
      <c r="E44" s="581"/>
      <c r="G44" s="102"/>
      <c r="H44" s="603"/>
    </row>
    <row r="45" spans="1:11" s="89" customFormat="1" ht="25.15" customHeight="1">
      <c r="A45" s="2569" t="s">
        <v>249</v>
      </c>
      <c r="B45" s="2570"/>
      <c r="C45" s="602">
        <f>1-C44</f>
        <v>0.89349999999999996</v>
      </c>
      <c r="D45" s="590"/>
      <c r="H45" s="603"/>
      <c r="J45" s="585">
        <f>(1+C36+C37+C38)*C41*C43</f>
        <v>1.13883</v>
      </c>
      <c r="K45" s="582">
        <f>J45/J46</f>
        <v>0.89349999999999996</v>
      </c>
    </row>
    <row r="46" spans="1:11" ht="25.15" customHeight="1">
      <c r="A46" s="91"/>
      <c r="B46" s="588"/>
      <c r="C46" s="588"/>
      <c r="D46" s="592"/>
      <c r="E46" s="588"/>
      <c r="H46" s="604"/>
      <c r="J46" s="584">
        <f>J45/C45</f>
        <v>1.274572</v>
      </c>
      <c r="K46" s="583">
        <f>J46-1</f>
        <v>0.27456999999999998</v>
      </c>
    </row>
    <row r="47" spans="1:11" ht="25.15" customHeight="1">
      <c r="A47" s="2573"/>
      <c r="B47" s="2574"/>
      <c r="C47" s="2574"/>
      <c r="D47" s="592"/>
      <c r="E47" s="588"/>
      <c r="H47" s="604"/>
    </row>
    <row r="48" spans="1:11" ht="25.15" customHeight="1">
      <c r="A48" s="91"/>
      <c r="B48" s="588"/>
      <c r="C48" s="588"/>
      <c r="D48" s="592"/>
      <c r="E48" s="588"/>
      <c r="F48" s="96"/>
      <c r="G48" s="97"/>
      <c r="H48" s="98">
        <f>(H37*H38*H39)/H43-1</f>
        <v>0.2135</v>
      </c>
    </row>
    <row r="49" spans="1:8" s="89" customFormat="1" ht="25.15" customHeight="1">
      <c r="A49" s="93" t="s">
        <v>250</v>
      </c>
      <c r="B49" s="94"/>
      <c r="C49" s="95">
        <f>(C39*C41*C43)/C45-1</f>
        <v>0.27460000000000001</v>
      </c>
      <c r="D49" s="589"/>
      <c r="E49" s="102"/>
      <c r="F49" s="102"/>
      <c r="G49" s="102"/>
      <c r="H49" s="99" t="s">
        <v>251</v>
      </c>
    </row>
    <row r="50" spans="1:8" s="89" customFormat="1" ht="25.15" customHeight="1">
      <c r="A50" s="90"/>
      <c r="B50" s="102"/>
      <c r="C50" s="102"/>
      <c r="D50" s="589"/>
      <c r="E50" s="102"/>
      <c r="F50" s="2565" t="s">
        <v>252</v>
      </c>
      <c r="G50" s="2565"/>
      <c r="H50" s="2566"/>
    </row>
    <row r="51" spans="1:8" ht="25.15" customHeight="1" thickBot="1">
      <c r="A51" s="91"/>
      <c r="B51" s="588"/>
      <c r="C51" s="588"/>
      <c r="D51" s="592"/>
      <c r="E51" s="588"/>
      <c r="F51" s="2567"/>
      <c r="G51" s="2567"/>
      <c r="H51" s="2568"/>
    </row>
    <row r="52" spans="1:8" ht="25.15" customHeight="1" thickBot="1">
      <c r="A52" s="100"/>
      <c r="B52" s="101"/>
      <c r="C52" s="101"/>
      <c r="D52" s="593"/>
      <c r="E52" s="101"/>
      <c r="F52" s="605"/>
      <c r="G52" s="605"/>
      <c r="H52" s="606"/>
    </row>
  </sheetData>
  <mergeCells count="44">
    <mergeCell ref="F37:G37"/>
    <mergeCell ref="F38:G38"/>
    <mergeCell ref="F39:G39"/>
    <mergeCell ref="A47:C47"/>
    <mergeCell ref="F41:G41"/>
    <mergeCell ref="F50:H51"/>
    <mergeCell ref="A39:B39"/>
    <mergeCell ref="A41:B41"/>
    <mergeCell ref="A43:B43"/>
    <mergeCell ref="A45:B45"/>
    <mergeCell ref="F43:G43"/>
    <mergeCell ref="A23:G23"/>
    <mergeCell ref="A19:G19"/>
    <mergeCell ref="A35:H35"/>
    <mergeCell ref="B24:G24"/>
    <mergeCell ref="A26:H26"/>
    <mergeCell ref="B27:G27"/>
    <mergeCell ref="B33:G33"/>
    <mergeCell ref="B28:G28"/>
    <mergeCell ref="B22:G22"/>
    <mergeCell ref="B29:G29"/>
    <mergeCell ref="B30:G30"/>
    <mergeCell ref="A31:H31"/>
    <mergeCell ref="B32:G32"/>
    <mergeCell ref="B13:G13"/>
    <mergeCell ref="A9:H9"/>
    <mergeCell ref="A10:H10"/>
    <mergeCell ref="B21:G21"/>
    <mergeCell ref="A11:G11"/>
    <mergeCell ref="A14:G14"/>
    <mergeCell ref="A15:H15"/>
    <mergeCell ref="B16:G16"/>
    <mergeCell ref="B17:G17"/>
    <mergeCell ref="A18:G18"/>
    <mergeCell ref="B12:G12"/>
    <mergeCell ref="B20:G20"/>
    <mergeCell ref="A1:H1"/>
    <mergeCell ref="A3:H3"/>
    <mergeCell ref="A4:H4"/>
    <mergeCell ref="A5:H5"/>
    <mergeCell ref="B8:D8"/>
    <mergeCell ref="E8:H8"/>
    <mergeCell ref="A6:H6"/>
    <mergeCell ref="B7:H7"/>
  </mergeCells>
  <printOptions horizontalCentered="1"/>
  <pageMargins left="0.51181102362204722" right="0.51181102362204722" top="0.78740157480314965" bottom="0.78740157480314965" header="0.31496062992125984" footer="0.31496062992125984"/>
  <pageSetup paperSize="9" scale="51"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pageSetUpPr fitToPage="1"/>
  </sheetPr>
  <dimension ref="A1:J47"/>
  <sheetViews>
    <sheetView view="pageBreakPreview" topLeftCell="A28" zoomScale="115" zoomScaleNormal="115" zoomScaleSheetLayoutView="115" workbookViewId="0">
      <selection activeCell="A9" sqref="A9:G9"/>
    </sheetView>
  </sheetViews>
  <sheetFormatPr defaultColWidth="9.28515625" defaultRowHeight="10.5"/>
  <cols>
    <col min="1" max="1" width="7.7109375" style="166" customWidth="1"/>
    <col min="2" max="2" width="10.7109375" style="166" customWidth="1"/>
    <col min="3" max="3" width="42.7109375" style="166" customWidth="1"/>
    <col min="4" max="7" width="11.7109375" style="166" customWidth="1"/>
    <col min="8" max="8" width="11.7109375" style="165" customWidth="1"/>
    <col min="9" max="9" width="9.28515625" style="165"/>
    <col min="10" max="16384" width="9.28515625" style="166"/>
  </cols>
  <sheetData>
    <row r="1" spans="1:10">
      <c r="A1" s="161"/>
      <c r="B1" s="162"/>
      <c r="C1" s="162"/>
      <c r="D1" s="162"/>
      <c r="E1" s="162"/>
      <c r="F1" s="162"/>
      <c r="G1" s="163"/>
      <c r="H1" s="164"/>
    </row>
    <row r="2" spans="1:10" ht="45.75" customHeight="1">
      <c r="A2" s="217"/>
      <c r="B2" s="218"/>
      <c r="C2" s="218"/>
      <c r="D2" s="218"/>
      <c r="E2" s="218"/>
      <c r="F2" s="218"/>
      <c r="G2" s="219"/>
      <c r="H2" s="164"/>
    </row>
    <row r="3" spans="1:10" s="171" customFormat="1" ht="13.5" customHeight="1">
      <c r="A3" s="2580" t="s">
        <v>18</v>
      </c>
      <c r="B3" s="2581"/>
      <c r="C3" s="2581"/>
      <c r="D3" s="2581"/>
      <c r="E3" s="2581"/>
      <c r="F3" s="2581"/>
      <c r="G3" s="2582"/>
      <c r="H3" s="167"/>
      <c r="I3" s="165"/>
    </row>
    <row r="4" spans="1:10" s="171" customFormat="1" ht="13.5" customHeight="1">
      <c r="A4" s="2583" t="s">
        <v>187</v>
      </c>
      <c r="B4" s="2584"/>
      <c r="C4" s="2584"/>
      <c r="D4" s="2584"/>
      <c r="E4" s="2584"/>
      <c r="F4" s="2584"/>
      <c r="G4" s="2585"/>
      <c r="H4" s="167"/>
      <c r="I4" s="165"/>
    </row>
    <row r="5" spans="1:10" s="171" customFormat="1" ht="13.5" customHeight="1">
      <c r="A5" s="2583" t="s">
        <v>17</v>
      </c>
      <c r="B5" s="2584"/>
      <c r="C5" s="2584"/>
      <c r="D5" s="2584"/>
      <c r="E5" s="2584"/>
      <c r="F5" s="2584"/>
      <c r="G5" s="2585"/>
      <c r="H5" s="167"/>
      <c r="I5" s="165"/>
    </row>
    <row r="6" spans="1:10" ht="11.25" thickBot="1">
      <c r="A6" s="2586"/>
      <c r="B6" s="2587"/>
      <c r="C6" s="2587"/>
      <c r="D6" s="2587"/>
      <c r="E6" s="2587"/>
      <c r="F6" s="2587"/>
      <c r="G6" s="2588"/>
      <c r="H6" s="167"/>
    </row>
    <row r="7" spans="1:10" ht="11.25" thickTop="1">
      <c r="A7" s="2596" t="s">
        <v>540</v>
      </c>
      <c r="B7" s="314" t="s">
        <v>570</v>
      </c>
      <c r="C7" s="2598" t="s">
        <v>561</v>
      </c>
      <c r="D7" s="2599"/>
      <c r="E7" s="2599"/>
      <c r="F7" s="2599"/>
      <c r="G7" s="315" t="s">
        <v>569</v>
      </c>
      <c r="H7" s="168"/>
    </row>
    <row r="8" spans="1:10" ht="11.25" thickBot="1">
      <c r="A8" s="2597"/>
      <c r="B8" s="313">
        <v>44896</v>
      </c>
      <c r="C8" s="2600"/>
      <c r="D8" s="2601"/>
      <c r="E8" s="2601"/>
      <c r="F8" s="2601"/>
      <c r="G8" s="216" t="s">
        <v>27</v>
      </c>
      <c r="H8" s="168"/>
    </row>
    <row r="9" spans="1:10" ht="27" customHeight="1" thickTop="1">
      <c r="A9" s="2593" t="str">
        <f>'PLANILHA GERAL'!D9</f>
        <v>OBRAS DE PREVENÇÕES DE ALAGAMENTOS E CHEIAS, INFRAESTRUTURA URBANA E CONSTRUÇÕES DIVERSAS NO MUNICÍPIO DE ANANINDEUA/PA</v>
      </c>
      <c r="B9" s="2594"/>
      <c r="C9" s="2594"/>
      <c r="D9" s="2594"/>
      <c r="E9" s="2594"/>
      <c r="F9" s="2594"/>
      <c r="G9" s="2595"/>
      <c r="H9" s="168"/>
    </row>
    <row r="10" spans="1:10" s="171" customFormat="1" ht="20.100000000000001" customHeight="1">
      <c r="A10" s="225" t="s">
        <v>35</v>
      </c>
      <c r="B10" s="226" t="s">
        <v>263</v>
      </c>
      <c r="C10" s="227" t="s">
        <v>36</v>
      </c>
      <c r="D10" s="226" t="s">
        <v>37</v>
      </c>
      <c r="E10" s="227" t="s">
        <v>151</v>
      </c>
      <c r="F10" s="228" t="s">
        <v>38</v>
      </c>
      <c r="G10" s="229" t="s">
        <v>39</v>
      </c>
      <c r="H10" s="175"/>
      <c r="I10" s="165"/>
    </row>
    <row r="11" spans="1:10" s="171" customFormat="1" ht="16.149999999999999" customHeight="1">
      <c r="A11" s="2590" t="s">
        <v>34</v>
      </c>
      <c r="B11" s="2591"/>
      <c r="C11" s="2591"/>
      <c r="D11" s="2591"/>
      <c r="E11" s="2591"/>
      <c r="F11" s="2591"/>
      <c r="G11" s="2592"/>
      <c r="H11" s="169"/>
      <c r="I11" s="165">
        <v>1.28</v>
      </c>
      <c r="J11" s="170">
        <f>G44</f>
        <v>865.82</v>
      </c>
    </row>
    <row r="12" spans="1:10" s="171" customFormat="1" ht="20.100000000000001" customHeight="1">
      <c r="A12" s="176">
        <v>1</v>
      </c>
      <c r="B12" s="177" t="s">
        <v>179</v>
      </c>
      <c r="C12" s="178" t="s">
        <v>161</v>
      </c>
      <c r="D12" s="173" t="s">
        <v>41</v>
      </c>
      <c r="E12" s="179">
        <v>1.34E-2</v>
      </c>
      <c r="F12" s="180">
        <v>21.09</v>
      </c>
      <c r="G12" s="181">
        <f>ROUND(E12*F12,2)</f>
        <v>0.28000000000000003</v>
      </c>
      <c r="H12" s="182">
        <v>1.34E-2</v>
      </c>
      <c r="I12" s="165">
        <f>$I$11</f>
        <v>1.28</v>
      </c>
    </row>
    <row r="13" spans="1:10" s="171" customFormat="1" ht="20.100000000000001" customHeight="1">
      <c r="A13" s="176">
        <v>2</v>
      </c>
      <c r="B13" s="177" t="s">
        <v>178</v>
      </c>
      <c r="C13" s="178" t="s">
        <v>162</v>
      </c>
      <c r="D13" s="173" t="s">
        <v>41</v>
      </c>
      <c r="E13" s="179">
        <v>3.5000000000000003E-2</v>
      </c>
      <c r="F13" s="180">
        <v>21.76</v>
      </c>
      <c r="G13" s="181">
        <f>ROUND(E13*F13,2)</f>
        <v>0.76</v>
      </c>
      <c r="H13" s="182">
        <v>3.5000000000000003E-2</v>
      </c>
      <c r="I13" s="165">
        <f t="shared" ref="I13:I37" si="0">$I$11</f>
        <v>1.28</v>
      </c>
    </row>
    <row r="14" spans="1:10" s="171" customFormat="1" ht="20.100000000000001" customHeight="1">
      <c r="A14" s="176">
        <v>3</v>
      </c>
      <c r="B14" s="177" t="s">
        <v>42</v>
      </c>
      <c r="C14" s="178" t="s">
        <v>163</v>
      </c>
      <c r="D14" s="173" t="s">
        <v>41</v>
      </c>
      <c r="E14" s="179">
        <v>0.1067</v>
      </c>
      <c r="F14" s="180">
        <v>19.21</v>
      </c>
      <c r="G14" s="181">
        <f>ROUND(E14*F14,2)</f>
        <v>2.0499999999999998</v>
      </c>
      <c r="H14" s="182">
        <v>0.1067</v>
      </c>
      <c r="I14" s="165">
        <f t="shared" si="0"/>
        <v>1.28</v>
      </c>
    </row>
    <row r="15" spans="1:10" s="171" customFormat="1" ht="20.100000000000001" customHeight="1">
      <c r="A15" s="183">
        <v>4</v>
      </c>
      <c r="B15" s="184">
        <v>88314</v>
      </c>
      <c r="C15" s="185" t="s">
        <v>166</v>
      </c>
      <c r="D15" s="186" t="s">
        <v>41</v>
      </c>
      <c r="E15" s="187">
        <v>1.1301000000000001</v>
      </c>
      <c r="F15" s="188">
        <v>17.91</v>
      </c>
      <c r="G15" s="181">
        <f>ROUND(E15*F15,2)</f>
        <v>20.239999999999998</v>
      </c>
      <c r="H15" s="182">
        <v>1.1301000000000001</v>
      </c>
      <c r="I15" s="165">
        <f t="shared" si="0"/>
        <v>1.28</v>
      </c>
    </row>
    <row r="16" spans="1:10" s="171" customFormat="1" ht="16.149999999999999" customHeight="1">
      <c r="A16" s="2602" t="s">
        <v>43</v>
      </c>
      <c r="B16" s="2602"/>
      <c r="C16" s="2602"/>
      <c r="D16" s="2602"/>
      <c r="E16" s="2602"/>
      <c r="F16" s="2602"/>
      <c r="G16" s="230">
        <f>SUM(G12:G15)</f>
        <v>23.33</v>
      </c>
      <c r="H16" s="189"/>
      <c r="I16" s="165"/>
    </row>
    <row r="17" spans="1:9" s="171" customFormat="1" ht="16.149999999999999" customHeight="1">
      <c r="A17" s="2590" t="s">
        <v>44</v>
      </c>
      <c r="B17" s="2591"/>
      <c r="C17" s="2591"/>
      <c r="D17" s="2591"/>
      <c r="E17" s="2591"/>
      <c r="F17" s="2591"/>
      <c r="G17" s="2592"/>
      <c r="H17" s="169"/>
      <c r="I17" s="165"/>
    </row>
    <row r="18" spans="1:9" s="171" customFormat="1" ht="20.100000000000001" customHeight="1">
      <c r="A18" s="176">
        <v>1</v>
      </c>
      <c r="B18" s="190">
        <v>5944</v>
      </c>
      <c r="C18" s="191" t="s">
        <v>154</v>
      </c>
      <c r="D18" s="173" t="s">
        <v>174</v>
      </c>
      <c r="E18" s="179">
        <v>3.5000000000000003E-2</v>
      </c>
      <c r="F18" s="180">
        <v>254.53</v>
      </c>
      <c r="G18" s="181">
        <f>ROUND(E18*F18,2)</f>
        <v>8.91</v>
      </c>
      <c r="H18" s="182">
        <v>3.5000000000000003E-2</v>
      </c>
      <c r="I18" s="165">
        <f t="shared" si="0"/>
        <v>1.28</v>
      </c>
    </row>
    <row r="19" spans="1:9" s="171" customFormat="1" ht="20.100000000000001" customHeight="1">
      <c r="A19" s="176">
        <v>2</v>
      </c>
      <c r="B19" s="190">
        <v>7030</v>
      </c>
      <c r="C19" s="191" t="s">
        <v>155</v>
      </c>
      <c r="D19" s="173" t="s">
        <v>174</v>
      </c>
      <c r="E19" s="179">
        <v>1.34E-2</v>
      </c>
      <c r="F19" s="180">
        <v>299.08999999999997</v>
      </c>
      <c r="G19" s="181">
        <f t="shared" ref="G19:G30" si="1">ROUND(E19*F19,2)</f>
        <v>4.01</v>
      </c>
      <c r="H19" s="182">
        <v>1.34E-2</v>
      </c>
      <c r="I19" s="165">
        <f t="shared" si="0"/>
        <v>1.28</v>
      </c>
    </row>
    <row r="20" spans="1:9" s="171" customFormat="1" ht="20.100000000000001" customHeight="1">
      <c r="A20" s="176">
        <v>3</v>
      </c>
      <c r="B20" s="190">
        <v>93433</v>
      </c>
      <c r="C20" s="191" t="s">
        <v>157</v>
      </c>
      <c r="D20" s="173" t="s">
        <v>174</v>
      </c>
      <c r="E20" s="179">
        <v>1.34E-2</v>
      </c>
      <c r="F20" s="180">
        <v>2820.43</v>
      </c>
      <c r="G20" s="181">
        <f t="shared" si="1"/>
        <v>37.79</v>
      </c>
      <c r="H20" s="182">
        <v>1.34E-2</v>
      </c>
      <c r="I20" s="165">
        <f t="shared" si="0"/>
        <v>1.28</v>
      </c>
    </row>
    <row r="21" spans="1:9" s="171" customFormat="1" ht="20.100000000000001" customHeight="1">
      <c r="A21" s="176">
        <v>4</v>
      </c>
      <c r="B21" s="190">
        <v>95872</v>
      </c>
      <c r="C21" s="191" t="s">
        <v>158</v>
      </c>
      <c r="D21" s="173" t="s">
        <v>174</v>
      </c>
      <c r="E21" s="179">
        <v>1.34E-2</v>
      </c>
      <c r="F21" s="180">
        <v>327.23</v>
      </c>
      <c r="G21" s="181">
        <f t="shared" si="1"/>
        <v>4.38</v>
      </c>
      <c r="H21" s="182">
        <v>1.34E-2</v>
      </c>
      <c r="I21" s="165">
        <f t="shared" si="0"/>
        <v>1.28</v>
      </c>
    </row>
    <row r="22" spans="1:9" s="171" customFormat="1" ht="20.100000000000001" customHeight="1">
      <c r="A22" s="176">
        <v>5</v>
      </c>
      <c r="B22" s="190">
        <v>5835</v>
      </c>
      <c r="C22" s="191" t="s">
        <v>164</v>
      </c>
      <c r="D22" s="173" t="s">
        <v>174</v>
      </c>
      <c r="E22" s="179">
        <v>4.6399999999999997E-2</v>
      </c>
      <c r="F22" s="180">
        <v>393.41</v>
      </c>
      <c r="G22" s="181">
        <f t="shared" si="1"/>
        <v>18.25</v>
      </c>
      <c r="H22" s="182">
        <v>4.6399999999999997E-2</v>
      </c>
      <c r="I22" s="165">
        <f t="shared" si="0"/>
        <v>1.28</v>
      </c>
    </row>
    <row r="23" spans="1:9" s="171" customFormat="1" ht="20.100000000000001" customHeight="1">
      <c r="A23" s="176">
        <v>6</v>
      </c>
      <c r="B23" s="190">
        <v>5837</v>
      </c>
      <c r="C23" s="191" t="s">
        <v>165</v>
      </c>
      <c r="D23" s="173" t="s">
        <v>176</v>
      </c>
      <c r="E23" s="179">
        <v>9.4899999999999998E-2</v>
      </c>
      <c r="F23" s="180">
        <v>137.78</v>
      </c>
      <c r="G23" s="181">
        <f t="shared" si="1"/>
        <v>13.08</v>
      </c>
      <c r="H23" s="182">
        <v>9.4899999999999998E-2</v>
      </c>
      <c r="I23" s="165">
        <f t="shared" si="0"/>
        <v>1.28</v>
      </c>
    </row>
    <row r="24" spans="1:9" s="171" customFormat="1" ht="20.100000000000001" customHeight="1">
      <c r="A24" s="176">
        <v>7</v>
      </c>
      <c r="B24" s="190">
        <v>91386</v>
      </c>
      <c r="C24" s="191" t="s">
        <v>167</v>
      </c>
      <c r="D24" s="173" t="s">
        <v>174</v>
      </c>
      <c r="E24" s="179">
        <v>4.6399999999999997E-2</v>
      </c>
      <c r="F24" s="180">
        <v>258.64999999999998</v>
      </c>
      <c r="G24" s="181">
        <f t="shared" si="1"/>
        <v>12</v>
      </c>
      <c r="H24" s="182">
        <v>4.6399999999999997E-2</v>
      </c>
      <c r="I24" s="165">
        <f t="shared" si="0"/>
        <v>1.28</v>
      </c>
    </row>
    <row r="25" spans="1:9" s="171" customFormat="1" ht="20.100000000000001" customHeight="1">
      <c r="A25" s="176">
        <v>8</v>
      </c>
      <c r="B25" s="190">
        <v>95631</v>
      </c>
      <c r="C25" s="191" t="s">
        <v>168</v>
      </c>
      <c r="D25" s="173" t="s">
        <v>174</v>
      </c>
      <c r="E25" s="179">
        <v>8.0500000000000002E-2</v>
      </c>
      <c r="F25" s="180">
        <v>238.14</v>
      </c>
      <c r="G25" s="181">
        <f t="shared" si="1"/>
        <v>19.170000000000002</v>
      </c>
      <c r="H25" s="182">
        <v>8.0500000000000002E-2</v>
      </c>
      <c r="I25" s="165">
        <f t="shared" si="0"/>
        <v>1.28</v>
      </c>
    </row>
    <row r="26" spans="1:9" s="171" customFormat="1" ht="20.100000000000001" customHeight="1">
      <c r="A26" s="176">
        <v>9</v>
      </c>
      <c r="B26" s="190">
        <v>95632</v>
      </c>
      <c r="C26" s="191" t="s">
        <v>169</v>
      </c>
      <c r="D26" s="173" t="s">
        <v>176</v>
      </c>
      <c r="E26" s="179">
        <v>6.0699999999999997E-2</v>
      </c>
      <c r="F26" s="180">
        <v>76.92</v>
      </c>
      <c r="G26" s="181">
        <f t="shared" si="1"/>
        <v>4.67</v>
      </c>
      <c r="H26" s="182">
        <v>6.0699999999999997E-2</v>
      </c>
      <c r="I26" s="165">
        <f t="shared" si="0"/>
        <v>1.28</v>
      </c>
    </row>
    <row r="27" spans="1:9" s="171" customFormat="1" ht="20.100000000000001" customHeight="1">
      <c r="A27" s="176">
        <v>10</v>
      </c>
      <c r="B27" s="190">
        <v>96155</v>
      </c>
      <c r="C27" s="191" t="s">
        <v>170</v>
      </c>
      <c r="D27" s="173" t="s">
        <v>176</v>
      </c>
      <c r="E27" s="179">
        <v>0.1071</v>
      </c>
      <c r="F27" s="180">
        <v>43.15</v>
      </c>
      <c r="G27" s="181">
        <f t="shared" si="1"/>
        <v>4.62</v>
      </c>
      <c r="H27" s="182">
        <v>0.1071</v>
      </c>
      <c r="I27" s="165">
        <f t="shared" si="0"/>
        <v>1.28</v>
      </c>
    </row>
    <row r="28" spans="1:9" s="171" customFormat="1" ht="20.100000000000001" customHeight="1">
      <c r="A28" s="176">
        <v>11</v>
      </c>
      <c r="B28" s="190">
        <v>96157</v>
      </c>
      <c r="C28" s="191" t="s">
        <v>171</v>
      </c>
      <c r="D28" s="173" t="s">
        <v>174</v>
      </c>
      <c r="E28" s="179">
        <v>3.4099999999999998E-2</v>
      </c>
      <c r="F28" s="180">
        <v>139.63</v>
      </c>
      <c r="G28" s="181">
        <f t="shared" si="1"/>
        <v>4.76</v>
      </c>
      <c r="H28" s="182">
        <v>3.4099999999999998E-2</v>
      </c>
      <c r="I28" s="165">
        <f t="shared" si="0"/>
        <v>1.28</v>
      </c>
    </row>
    <row r="29" spans="1:9" s="171" customFormat="1" ht="20.100000000000001" customHeight="1">
      <c r="A29" s="176">
        <v>12</v>
      </c>
      <c r="B29" s="190">
        <v>96463</v>
      </c>
      <c r="C29" s="191" t="s">
        <v>172</v>
      </c>
      <c r="D29" s="173" t="s">
        <v>174</v>
      </c>
      <c r="E29" s="179">
        <v>4.19E-2</v>
      </c>
      <c r="F29" s="180">
        <v>222.28</v>
      </c>
      <c r="G29" s="181">
        <f t="shared" si="1"/>
        <v>9.31</v>
      </c>
      <c r="H29" s="182">
        <v>4.19E-2</v>
      </c>
      <c r="I29" s="165">
        <f t="shared" si="0"/>
        <v>1.28</v>
      </c>
    </row>
    <row r="30" spans="1:9" s="171" customFormat="1" ht="20.100000000000001" customHeight="1">
      <c r="A30" s="183">
        <v>13</v>
      </c>
      <c r="B30" s="184">
        <v>96464</v>
      </c>
      <c r="C30" s="192" t="s">
        <v>173</v>
      </c>
      <c r="D30" s="186" t="s">
        <v>176</v>
      </c>
      <c r="E30" s="187">
        <v>9.9000000000000005E-2</v>
      </c>
      <c r="F30" s="188">
        <v>82.97</v>
      </c>
      <c r="G30" s="181">
        <f t="shared" si="1"/>
        <v>8.2100000000000009</v>
      </c>
      <c r="H30" s="182">
        <v>9.9000000000000005E-2</v>
      </c>
      <c r="I30" s="165">
        <f t="shared" si="0"/>
        <v>1.28</v>
      </c>
    </row>
    <row r="31" spans="1:9" s="171" customFormat="1" ht="16.149999999999999" customHeight="1">
      <c r="A31" s="2602" t="s">
        <v>45</v>
      </c>
      <c r="B31" s="2602"/>
      <c r="C31" s="2602"/>
      <c r="D31" s="2602"/>
      <c r="E31" s="2602"/>
      <c r="F31" s="2602"/>
      <c r="G31" s="230">
        <f>SUM(G18:G30)</f>
        <v>149.16</v>
      </c>
      <c r="H31" s="189"/>
      <c r="I31" s="165"/>
    </row>
    <row r="32" spans="1:9" s="171" customFormat="1" ht="16.149999999999999" customHeight="1">
      <c r="A32" s="2603" t="s">
        <v>46</v>
      </c>
      <c r="B32" s="2603"/>
      <c r="C32" s="2603"/>
      <c r="D32" s="2603"/>
      <c r="E32" s="2603"/>
      <c r="F32" s="2603"/>
      <c r="G32" s="2603"/>
      <c r="H32" s="169"/>
      <c r="I32" s="165"/>
    </row>
    <row r="33" spans="1:9" s="171" customFormat="1" ht="20.100000000000001" customHeight="1">
      <c r="A33" s="176">
        <v>1</v>
      </c>
      <c r="B33" s="193">
        <v>370</v>
      </c>
      <c r="C33" s="178" t="s">
        <v>152</v>
      </c>
      <c r="D33" s="173" t="s">
        <v>0</v>
      </c>
      <c r="E33" s="179">
        <v>0.1875</v>
      </c>
      <c r="F33" s="194">
        <v>90</v>
      </c>
      <c r="G33" s="181">
        <f>ROUND(E33*F33,2)</f>
        <v>16.88</v>
      </c>
      <c r="H33" s="182">
        <v>0.1875</v>
      </c>
      <c r="I33" s="165">
        <f t="shared" si="0"/>
        <v>1.28</v>
      </c>
    </row>
    <row r="34" spans="1:9" s="171" customFormat="1" ht="20.100000000000001" customHeight="1">
      <c r="A34" s="176">
        <v>2</v>
      </c>
      <c r="B34" s="193">
        <v>4734</v>
      </c>
      <c r="C34" s="178" t="s">
        <v>153</v>
      </c>
      <c r="D34" s="173" t="s">
        <v>0</v>
      </c>
      <c r="E34" s="179">
        <v>0.252</v>
      </c>
      <c r="F34" s="194">
        <v>621.30999999999995</v>
      </c>
      <c r="G34" s="181">
        <f>ROUND(E34*F34,2)</f>
        <v>156.57</v>
      </c>
      <c r="H34" s="182">
        <v>0.252</v>
      </c>
      <c r="I34" s="165">
        <f t="shared" si="0"/>
        <v>1.28</v>
      </c>
    </row>
    <row r="35" spans="1:9" s="171" customFormat="1" ht="20.100000000000001" customHeight="1">
      <c r="A35" s="176">
        <v>3</v>
      </c>
      <c r="B35" s="193">
        <v>41899</v>
      </c>
      <c r="C35" s="195" t="s">
        <v>156</v>
      </c>
      <c r="D35" s="173" t="s">
        <v>27</v>
      </c>
      <c r="E35" s="179">
        <v>0.06</v>
      </c>
      <c r="F35" s="194">
        <v>6664.59</v>
      </c>
      <c r="G35" s="181">
        <f>ROUND(E35*F35,2)</f>
        <v>399.88</v>
      </c>
      <c r="H35" s="182">
        <v>0.06</v>
      </c>
      <c r="I35" s="165">
        <f t="shared" si="0"/>
        <v>1.28</v>
      </c>
    </row>
    <row r="36" spans="1:9" s="171" customFormat="1" ht="20.100000000000001" customHeight="1">
      <c r="A36" s="176">
        <v>4</v>
      </c>
      <c r="B36" s="193">
        <v>4221</v>
      </c>
      <c r="C36" s="178" t="s">
        <v>159</v>
      </c>
      <c r="D36" s="173" t="s">
        <v>175</v>
      </c>
      <c r="E36" s="179">
        <v>5</v>
      </c>
      <c r="F36" s="194">
        <v>6.72</v>
      </c>
      <c r="G36" s="181">
        <f>ROUND(E36*F36,2)</f>
        <v>33.6</v>
      </c>
      <c r="H36" s="182">
        <v>5</v>
      </c>
      <c r="I36" s="165">
        <f t="shared" si="0"/>
        <v>1.28</v>
      </c>
    </row>
    <row r="37" spans="1:9" s="171" customFormat="1" ht="20.100000000000001" customHeight="1">
      <c r="A37" s="183">
        <v>5</v>
      </c>
      <c r="B37" s="196">
        <v>11138</v>
      </c>
      <c r="C37" s="197" t="s">
        <v>160</v>
      </c>
      <c r="D37" s="186" t="s">
        <v>175</v>
      </c>
      <c r="E37" s="187">
        <v>20</v>
      </c>
      <c r="F37" s="198">
        <v>4.32</v>
      </c>
      <c r="G37" s="181">
        <f>ROUND(E37*F37,2)</f>
        <v>86.4</v>
      </c>
      <c r="H37" s="182">
        <v>20</v>
      </c>
      <c r="I37" s="165">
        <f t="shared" si="0"/>
        <v>1.28</v>
      </c>
    </row>
    <row r="38" spans="1:9" s="171" customFormat="1" ht="16.149999999999999" customHeight="1">
      <c r="A38" s="2602" t="s">
        <v>47</v>
      </c>
      <c r="B38" s="2602"/>
      <c r="C38" s="2602"/>
      <c r="D38" s="2602"/>
      <c r="E38" s="2602"/>
      <c r="F38" s="2602"/>
      <c r="G38" s="230">
        <f>SUM(G33:G37)</f>
        <v>693.33</v>
      </c>
      <c r="H38" s="189"/>
      <c r="I38" s="165"/>
    </row>
    <row r="39" spans="1:9" s="171" customFormat="1" ht="16.149999999999999" customHeight="1">
      <c r="A39" s="2576" t="s">
        <v>48</v>
      </c>
      <c r="B39" s="2577"/>
      <c r="C39" s="2577"/>
      <c r="D39" s="2577"/>
      <c r="E39" s="2577"/>
      <c r="F39" s="2577"/>
      <c r="G39" s="2578"/>
      <c r="H39" s="199"/>
      <c r="I39" s="165"/>
    </row>
    <row r="40" spans="1:9" s="171" customFormat="1" ht="16.149999999999999" customHeight="1">
      <c r="A40" s="172" t="s">
        <v>35</v>
      </c>
      <c r="B40" s="173"/>
      <c r="C40" s="173" t="s">
        <v>49</v>
      </c>
      <c r="D40" s="173" t="s">
        <v>39</v>
      </c>
      <c r="E40" s="173"/>
      <c r="F40" s="200"/>
      <c r="G40" s="174"/>
      <c r="H40" s="175"/>
      <c r="I40" s="165"/>
    </row>
    <row r="41" spans="1:9" s="171" customFormat="1" ht="16.149999999999999" customHeight="1">
      <c r="A41" s="172" t="s">
        <v>50</v>
      </c>
      <c r="B41" s="173"/>
      <c r="C41" s="173" t="s">
        <v>51</v>
      </c>
      <c r="D41" s="2579" t="s">
        <v>52</v>
      </c>
      <c r="E41" s="2579"/>
      <c r="F41" s="2579"/>
      <c r="G41" s="174">
        <f>G16</f>
        <v>23.33</v>
      </c>
      <c r="H41" s="175"/>
      <c r="I41" s="165"/>
    </row>
    <row r="42" spans="1:9" s="171" customFormat="1" ht="16.149999999999999" customHeight="1">
      <c r="A42" s="172" t="s">
        <v>53</v>
      </c>
      <c r="B42" s="173"/>
      <c r="C42" s="173" t="s">
        <v>54</v>
      </c>
      <c r="D42" s="2579" t="s">
        <v>55</v>
      </c>
      <c r="E42" s="2579"/>
      <c r="F42" s="2579"/>
      <c r="G42" s="174">
        <f>G31</f>
        <v>149.16</v>
      </c>
      <c r="H42" s="175"/>
      <c r="I42" s="165"/>
    </row>
    <row r="43" spans="1:9" s="171" customFormat="1" ht="16.149999999999999" customHeight="1">
      <c r="A43" s="172" t="s">
        <v>14</v>
      </c>
      <c r="B43" s="173"/>
      <c r="C43" s="173" t="s">
        <v>56</v>
      </c>
      <c r="D43" s="2579" t="s">
        <v>57</v>
      </c>
      <c r="E43" s="2579"/>
      <c r="F43" s="2579"/>
      <c r="G43" s="174">
        <f>G38</f>
        <v>693.33</v>
      </c>
      <c r="H43" s="175"/>
      <c r="I43" s="165"/>
    </row>
    <row r="44" spans="1:9" s="171" customFormat="1" ht="16.149999999999999" customHeight="1">
      <c r="A44" s="172" t="s">
        <v>7</v>
      </c>
      <c r="B44" s="173"/>
      <c r="C44" s="201" t="s">
        <v>58</v>
      </c>
      <c r="D44" s="2589" t="s">
        <v>59</v>
      </c>
      <c r="E44" s="2589"/>
      <c r="F44" s="2589"/>
      <c r="G44" s="202">
        <f>G41+G42+G43</f>
        <v>865.82</v>
      </c>
      <c r="H44" s="203">
        <v>596</v>
      </c>
      <c r="I44" s="165"/>
    </row>
    <row r="45" spans="1:9" s="171" customFormat="1" ht="16.149999999999999" customHeight="1">
      <c r="A45" s="172"/>
      <c r="B45" s="173"/>
      <c r="C45" s="201"/>
      <c r="D45" s="204" t="s">
        <v>198</v>
      </c>
      <c r="E45" s="205"/>
      <c r="F45" s="206">
        <v>0.27460000000000001</v>
      </c>
      <c r="G45" s="207">
        <f>G44*F45</f>
        <v>237.75</v>
      </c>
      <c r="H45" s="208"/>
      <c r="I45" s="165"/>
    </row>
    <row r="46" spans="1:9" s="171" customFormat="1" ht="16.149999999999999" customHeight="1" thickBot="1">
      <c r="A46" s="209"/>
      <c r="B46" s="210"/>
      <c r="C46" s="210"/>
      <c r="D46" s="2575" t="s">
        <v>61</v>
      </c>
      <c r="E46" s="2575"/>
      <c r="F46" s="2575"/>
      <c r="G46" s="211">
        <f>G44+G45</f>
        <v>1103.57</v>
      </c>
      <c r="H46" s="212"/>
      <c r="I46" s="165"/>
    </row>
    <row r="47" spans="1:9">
      <c r="A47" s="213"/>
      <c r="B47" s="213"/>
      <c r="C47" s="213"/>
      <c r="D47" s="214"/>
      <c r="E47" s="214"/>
      <c r="F47" s="214"/>
      <c r="G47" s="215"/>
      <c r="H47" s="215"/>
    </row>
  </sheetData>
  <mergeCells count="19">
    <mergeCell ref="A3:G3"/>
    <mergeCell ref="A4:G4"/>
    <mergeCell ref="A5:G5"/>
    <mergeCell ref="A6:G6"/>
    <mergeCell ref="D44:F44"/>
    <mergeCell ref="A11:G11"/>
    <mergeCell ref="A9:G9"/>
    <mergeCell ref="A7:A8"/>
    <mergeCell ref="C7:F8"/>
    <mergeCell ref="A38:F38"/>
    <mergeCell ref="A17:G17"/>
    <mergeCell ref="A32:G32"/>
    <mergeCell ref="A16:F16"/>
    <mergeCell ref="A31:F31"/>
    <mergeCell ref="D46:F46"/>
    <mergeCell ref="A39:G39"/>
    <mergeCell ref="D41:F41"/>
    <mergeCell ref="D42:F42"/>
    <mergeCell ref="D43:F43"/>
  </mergeCells>
  <printOptions horizontalCentered="1"/>
  <pageMargins left="0.51181102362204722" right="0.51181102362204722" top="0.78740157480314965" bottom="0.78740157480314965" header="0.31496062992125984" footer="0.31496062992125984"/>
  <pageSetup paperSize="9" scale="87" orientation="portrait" r:id="rId1"/>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28"/>
  <sheetViews>
    <sheetView view="pageBreakPreview" zoomScale="85" zoomScaleNormal="100" zoomScaleSheetLayoutView="85" workbookViewId="0">
      <selection activeCell="L18" sqref="L18"/>
    </sheetView>
  </sheetViews>
  <sheetFormatPr defaultColWidth="9.28515625" defaultRowHeight="12.75"/>
  <cols>
    <col min="1" max="1" width="9.28515625" style="1"/>
    <col min="2" max="2" width="9.28515625" style="1" bestFit="1" customWidth="1"/>
    <col min="3" max="3" width="51.7109375" style="1" customWidth="1"/>
    <col min="4" max="4" width="9.28515625" style="1"/>
    <col min="5" max="5" width="16.28515625" style="1" customWidth="1"/>
    <col min="6" max="6" width="11.42578125" style="1" bestFit="1" customWidth="1"/>
    <col min="7" max="7" width="9.28515625" style="1"/>
    <col min="8" max="8" width="11.5703125" style="1" bestFit="1" customWidth="1"/>
    <col min="9" max="16384" width="9.28515625" style="1"/>
  </cols>
  <sheetData>
    <row r="1" spans="1:8" s="2" customFormat="1" ht="15" customHeight="1">
      <c r="A1" s="37"/>
      <c r="B1" s="2626"/>
      <c r="C1" s="2626"/>
      <c r="D1" s="2626"/>
      <c r="E1" s="2626"/>
      <c r="F1" s="2626"/>
      <c r="G1" s="2626"/>
      <c r="H1" s="2627"/>
    </row>
    <row r="2" spans="1:8" s="2" customFormat="1" ht="15" customHeight="1">
      <c r="A2" s="2628" t="s">
        <v>18</v>
      </c>
      <c r="B2" s="2629"/>
      <c r="C2" s="2629"/>
      <c r="D2" s="2629"/>
      <c r="E2" s="2629"/>
      <c r="F2" s="2629"/>
      <c r="G2" s="2629"/>
      <c r="H2" s="2630"/>
    </row>
    <row r="3" spans="1:8" s="2" customFormat="1" ht="15" customHeight="1">
      <c r="A3" s="2631" t="s">
        <v>187</v>
      </c>
      <c r="B3" s="2632"/>
      <c r="C3" s="2632"/>
      <c r="D3" s="2632"/>
      <c r="E3" s="2632"/>
      <c r="F3" s="2632"/>
      <c r="G3" s="2632"/>
      <c r="H3" s="2633"/>
    </row>
    <row r="4" spans="1:8" s="2" customFormat="1" ht="15" customHeight="1">
      <c r="A4" s="2631" t="s">
        <v>17</v>
      </c>
      <c r="B4" s="2632"/>
      <c r="C4" s="2632"/>
      <c r="D4" s="2632"/>
      <c r="E4" s="2632"/>
      <c r="F4" s="2632"/>
      <c r="G4" s="2632"/>
      <c r="H4" s="2633"/>
    </row>
    <row r="5" spans="1:8" s="2" customFormat="1" ht="15" customHeight="1" thickBot="1">
      <c r="A5" s="38"/>
      <c r="B5" s="2634"/>
      <c r="C5" s="2634"/>
      <c r="D5" s="2634"/>
      <c r="E5" s="2634"/>
      <c r="F5" s="2634"/>
      <c r="G5" s="2634"/>
      <c r="H5" s="2635"/>
    </row>
    <row r="6" spans="1:8" s="3" customFormat="1" ht="25.15" customHeight="1" thickTop="1" thickBot="1">
      <c r="A6" s="42" t="s">
        <v>264</v>
      </c>
      <c r="B6" s="43" t="s">
        <v>353</v>
      </c>
      <c r="C6" s="2604" t="str">
        <f>PROPER(" POçO DE VISITA PARA DRENAGEM PLUVIAL, EM CONCRETO ESTRUTURAL, DIMENSOES INTERNAS DE 90X150X80CM (LARGXCOMPXALT), PARA REDE DE 600 MM, EXCLUSOS TAMPAO E CHAMINE")</f>
        <v xml:space="preserve"> Poço De Visita Para Drenagem Pluvial, Em Concreto Estrutural, Dimensoes Internas De 90X150X80Cm (Largxcompxalt), Para Rede De 600 Mm, Exclusos Tampao E Chamine</v>
      </c>
      <c r="D6" s="2604"/>
      <c r="E6" s="2604"/>
      <c r="F6" s="2604"/>
      <c r="G6" s="2605" t="s">
        <v>285</v>
      </c>
      <c r="H6" s="2606"/>
    </row>
    <row r="7" spans="1:8" s="3" customFormat="1" ht="40.5" customHeight="1" thickTop="1">
      <c r="A7" s="2612" t="e">
        <f>'PLANILHA GERAL'!#REF!</f>
        <v>#REF!</v>
      </c>
      <c r="B7" s="2613"/>
      <c r="C7" s="2613"/>
      <c r="D7" s="2613"/>
      <c r="E7" s="2613"/>
      <c r="F7" s="2613"/>
      <c r="G7" s="2613"/>
      <c r="H7" s="2614"/>
    </row>
    <row r="8" spans="1:8" s="3" customFormat="1" ht="20.100000000000001" customHeight="1">
      <c r="A8" s="2615" t="s">
        <v>188</v>
      </c>
      <c r="B8" s="2616"/>
      <c r="C8" s="2616"/>
      <c r="D8" s="2616"/>
      <c r="E8" s="2616"/>
      <c r="F8" s="2616"/>
      <c r="G8" s="2616"/>
      <c r="H8" s="2617"/>
    </row>
    <row r="9" spans="1:8" s="3" customFormat="1" ht="20.100000000000001" customHeight="1">
      <c r="A9" s="25" t="s">
        <v>35</v>
      </c>
      <c r="B9" s="26" t="s">
        <v>263</v>
      </c>
      <c r="C9" s="27" t="s">
        <v>36</v>
      </c>
      <c r="D9" s="26" t="s">
        <v>37</v>
      </c>
      <c r="E9" s="27" t="s">
        <v>151</v>
      </c>
      <c r="F9" s="28" t="s">
        <v>38</v>
      </c>
      <c r="G9" s="2618" t="s">
        <v>39</v>
      </c>
      <c r="H9" s="2619"/>
    </row>
    <row r="10" spans="1:8" s="3" customFormat="1" ht="20.100000000000001" customHeight="1">
      <c r="A10" s="39">
        <v>1</v>
      </c>
      <c r="B10" s="29">
        <v>88309</v>
      </c>
      <c r="C10" s="18" t="s">
        <v>275</v>
      </c>
      <c r="D10" s="4" t="s">
        <v>229</v>
      </c>
      <c r="E10" s="22">
        <v>0.21279999999999999</v>
      </c>
      <c r="F10" s="5">
        <v>21.31</v>
      </c>
      <c r="G10" s="6"/>
      <c r="H10" s="7">
        <f>ROUND(E10*F10,2)</f>
        <v>4.53</v>
      </c>
    </row>
    <row r="11" spans="1:8" s="3" customFormat="1" ht="20.100000000000001" customHeight="1" thickBot="1">
      <c r="A11" s="39">
        <v>2</v>
      </c>
      <c r="B11" s="29">
        <v>88316</v>
      </c>
      <c r="C11" s="18" t="s">
        <v>189</v>
      </c>
      <c r="D11" s="4" t="s">
        <v>229</v>
      </c>
      <c r="E11" s="22">
        <v>0.42549999999999999</v>
      </c>
      <c r="F11" s="5">
        <v>17.09</v>
      </c>
      <c r="G11" s="6"/>
      <c r="H11" s="7">
        <f>ROUND(E11*F11,2)</f>
        <v>7.27</v>
      </c>
    </row>
    <row r="12" spans="1:8" s="3" customFormat="1" ht="20.100000000000001" customHeight="1" thickBot="1">
      <c r="A12" s="40"/>
      <c r="B12" s="8"/>
      <c r="C12" s="6"/>
      <c r="D12" s="8"/>
      <c r="E12" s="9" t="s">
        <v>190</v>
      </c>
      <c r="F12" s="10"/>
      <c r="G12" s="11"/>
      <c r="H12" s="12">
        <f>SUM(H10:H11)</f>
        <v>11.8</v>
      </c>
    </row>
    <row r="13" spans="1:8" s="3" customFormat="1" ht="20.100000000000001" customHeight="1">
      <c r="A13" s="2620" t="s">
        <v>191</v>
      </c>
      <c r="B13" s="2621"/>
      <c r="C13" s="2621"/>
      <c r="D13" s="2621"/>
      <c r="E13" s="2621"/>
      <c r="F13" s="2621"/>
      <c r="G13" s="2621"/>
      <c r="H13" s="2622"/>
    </row>
    <row r="14" spans="1:8" s="3" customFormat="1" ht="20.100000000000001" customHeight="1">
      <c r="A14" s="25" t="s">
        <v>35</v>
      </c>
      <c r="B14" s="26" t="s">
        <v>263</v>
      </c>
      <c r="C14" s="27" t="s">
        <v>36</v>
      </c>
      <c r="D14" s="26" t="s">
        <v>37</v>
      </c>
      <c r="E14" s="27" t="s">
        <v>151</v>
      </c>
      <c r="F14" s="28" t="s">
        <v>38</v>
      </c>
      <c r="G14" s="2607" t="s">
        <v>39</v>
      </c>
      <c r="H14" s="2608"/>
    </row>
    <row r="15" spans="1:8" s="3" customFormat="1" ht="20.100000000000001" customHeight="1">
      <c r="A15" s="39">
        <v>1</v>
      </c>
      <c r="B15" s="30">
        <v>87313</v>
      </c>
      <c r="C15" s="23" t="s">
        <v>278</v>
      </c>
      <c r="D15" s="14" t="s">
        <v>195</v>
      </c>
      <c r="E15" s="19">
        <v>0.02</v>
      </c>
      <c r="F15" s="20">
        <v>527.24</v>
      </c>
      <c r="G15" s="13"/>
      <c r="H15" s="7">
        <f>ROUND(E15*F15,2)</f>
        <v>10.54</v>
      </c>
    </row>
    <row r="16" spans="1:8" s="3" customFormat="1" ht="20.100000000000001" customHeight="1">
      <c r="A16" s="39">
        <v>2</v>
      </c>
      <c r="B16" s="30">
        <v>94969</v>
      </c>
      <c r="C16" s="23" t="s">
        <v>283</v>
      </c>
      <c r="D16" s="14" t="s">
        <v>195</v>
      </c>
      <c r="E16" s="19">
        <v>1.62</v>
      </c>
      <c r="F16" s="20">
        <v>424.22</v>
      </c>
      <c r="G16" s="13"/>
      <c r="H16" s="7">
        <f>ROUND(E16*F16,2)</f>
        <v>687.24</v>
      </c>
    </row>
    <row r="17" spans="1:8" s="3" customFormat="1" ht="20.100000000000001" customHeight="1" thickBot="1">
      <c r="A17" s="39">
        <v>3</v>
      </c>
      <c r="B17" s="30">
        <v>101616</v>
      </c>
      <c r="C17" s="23" t="s">
        <v>284</v>
      </c>
      <c r="D17" s="14" t="s">
        <v>280</v>
      </c>
      <c r="E17" s="19">
        <v>2.2799999999999998</v>
      </c>
      <c r="F17" s="20">
        <v>4.95</v>
      </c>
      <c r="G17" s="13"/>
      <c r="H17" s="7">
        <f>ROUND(E17*F17,2)</f>
        <v>11.29</v>
      </c>
    </row>
    <row r="18" spans="1:8" s="3" customFormat="1" ht="20.100000000000001" customHeight="1" thickBot="1">
      <c r="A18" s="40"/>
      <c r="B18" s="8" t="s">
        <v>192</v>
      </c>
      <c r="C18" s="6"/>
      <c r="D18" s="8"/>
      <c r="E18" s="9" t="s">
        <v>193</v>
      </c>
      <c r="F18" s="15"/>
      <c r="G18" s="16"/>
      <c r="H18" s="12">
        <f>SUM(H15:H17)</f>
        <v>709.07</v>
      </c>
    </row>
    <row r="19" spans="1:8" s="3" customFormat="1" ht="20.100000000000001" customHeight="1">
      <c r="A19" s="2623" t="s">
        <v>194</v>
      </c>
      <c r="B19" s="2624"/>
      <c r="C19" s="2624"/>
      <c r="D19" s="2624"/>
      <c r="E19" s="2624"/>
      <c r="F19" s="2624"/>
      <c r="G19" s="2624"/>
      <c r="H19" s="2625"/>
    </row>
    <row r="20" spans="1:8" s="3" customFormat="1" ht="20.100000000000001" customHeight="1">
      <c r="A20" s="25" t="s">
        <v>35</v>
      </c>
      <c r="B20" s="26" t="s">
        <v>263</v>
      </c>
      <c r="C20" s="27" t="s">
        <v>36</v>
      </c>
      <c r="D20" s="26" t="s">
        <v>37</v>
      </c>
      <c r="E20" s="27" t="s">
        <v>151</v>
      </c>
      <c r="F20" s="28" t="s">
        <v>38</v>
      </c>
      <c r="G20" s="2607" t="s">
        <v>39</v>
      </c>
      <c r="H20" s="2608"/>
    </row>
    <row r="21" spans="1:8" s="3" customFormat="1" ht="20.100000000000001" customHeight="1">
      <c r="A21" s="39">
        <v>1</v>
      </c>
      <c r="B21" s="30">
        <v>5875</v>
      </c>
      <c r="C21" s="21" t="s">
        <v>276</v>
      </c>
      <c r="D21" s="14" t="s">
        <v>174</v>
      </c>
      <c r="E21" s="24">
        <v>0.17019999999999999</v>
      </c>
      <c r="F21" s="20">
        <v>106.6</v>
      </c>
      <c r="G21" s="13"/>
      <c r="H21" s="7">
        <f>ROUND(E21*F21,2)</f>
        <v>18.14</v>
      </c>
    </row>
    <row r="22" spans="1:8" s="3" customFormat="1" ht="20.100000000000001" customHeight="1">
      <c r="A22" s="39">
        <v>2</v>
      </c>
      <c r="B22" s="30">
        <v>5877</v>
      </c>
      <c r="C22" s="21" t="s">
        <v>277</v>
      </c>
      <c r="D22" s="14" t="s">
        <v>176</v>
      </c>
      <c r="E22" s="24">
        <v>4.2599999999999999E-2</v>
      </c>
      <c r="F22" s="20">
        <v>42.95</v>
      </c>
      <c r="G22" s="13"/>
      <c r="H22" s="7">
        <f>ROUND(E22*F22,2)</f>
        <v>1.83</v>
      </c>
    </row>
    <row r="23" spans="1:8" s="3" customFormat="1" ht="20.100000000000001" customHeight="1">
      <c r="A23" s="39">
        <v>3</v>
      </c>
      <c r="B23" s="30">
        <v>92419</v>
      </c>
      <c r="C23" s="21" t="s">
        <v>279</v>
      </c>
      <c r="D23" s="14" t="s">
        <v>280</v>
      </c>
      <c r="E23" s="24">
        <v>12.68</v>
      </c>
      <c r="F23" s="20">
        <v>72.41</v>
      </c>
      <c r="G23" s="13"/>
      <c r="H23" s="7">
        <f>ROUND(E23*F23,2)</f>
        <v>918.16</v>
      </c>
    </row>
    <row r="24" spans="1:8" s="3" customFormat="1" ht="20.100000000000001" customHeight="1" thickBot="1">
      <c r="A24" s="39">
        <v>4</v>
      </c>
      <c r="B24" s="30">
        <v>92915</v>
      </c>
      <c r="C24" s="21" t="s">
        <v>281</v>
      </c>
      <c r="D24" s="14" t="s">
        <v>282</v>
      </c>
      <c r="E24" s="24">
        <v>16.399999999999999</v>
      </c>
      <c r="F24" s="20">
        <v>16.48</v>
      </c>
      <c r="G24" s="13"/>
      <c r="H24" s="7">
        <f>ROUND(E24*F24,2)</f>
        <v>270.27</v>
      </c>
    </row>
    <row r="25" spans="1:8" s="3" customFormat="1" ht="20.100000000000001" customHeight="1" thickBot="1">
      <c r="A25" s="40"/>
      <c r="B25" s="6" t="s">
        <v>192</v>
      </c>
      <c r="C25" s="6"/>
      <c r="D25" s="8"/>
      <c r="E25" s="9" t="s">
        <v>196</v>
      </c>
      <c r="F25" s="15"/>
      <c r="G25" s="16"/>
      <c r="H25" s="12">
        <f>SUM(H21:H24)</f>
        <v>1208.4000000000001</v>
      </c>
    </row>
    <row r="26" spans="1:8" s="3" customFormat="1" ht="20.100000000000001" customHeight="1">
      <c r="A26" s="40"/>
      <c r="B26" s="2609" t="s">
        <v>197</v>
      </c>
      <c r="C26" s="2609"/>
      <c r="D26" s="2609"/>
      <c r="E26" s="2609"/>
      <c r="F26" s="2609"/>
      <c r="G26" s="2610"/>
      <c r="H26" s="17">
        <f>SUM(H12+H18+H25)</f>
        <v>1929.27</v>
      </c>
    </row>
    <row r="27" spans="1:8" s="3" customFormat="1" ht="20.100000000000001" customHeight="1" thickBot="1">
      <c r="A27" s="41"/>
      <c r="B27" s="2611" t="s">
        <v>198</v>
      </c>
      <c r="C27" s="2611"/>
      <c r="D27" s="2611"/>
      <c r="E27" s="2611"/>
      <c r="F27" s="2611"/>
      <c r="G27" s="31">
        <v>0.27460000000000001</v>
      </c>
      <c r="H27" s="32">
        <f>H26*G27</f>
        <v>529.78</v>
      </c>
    </row>
    <row r="28" spans="1:8" s="3" customFormat="1" ht="20.100000000000001" customHeight="1" thickBot="1">
      <c r="A28" s="44"/>
      <c r="B28" s="33" t="s">
        <v>199</v>
      </c>
      <c r="C28" s="33"/>
      <c r="D28" s="34"/>
      <c r="E28" s="33"/>
      <c r="F28" s="33"/>
      <c r="G28" s="35"/>
      <c r="H28" s="36">
        <f>SUM(H26:H27)</f>
        <v>2459.0500000000002</v>
      </c>
    </row>
  </sheetData>
  <mergeCells count="16">
    <mergeCell ref="B1:H1"/>
    <mergeCell ref="A2:H2"/>
    <mergeCell ref="A3:H3"/>
    <mergeCell ref="A4:H4"/>
    <mergeCell ref="B5:H5"/>
    <mergeCell ref="C6:F6"/>
    <mergeCell ref="G6:H6"/>
    <mergeCell ref="G20:H20"/>
    <mergeCell ref="B26:G26"/>
    <mergeCell ref="B27:F27"/>
    <mergeCell ref="A7:H7"/>
    <mergeCell ref="A8:H8"/>
    <mergeCell ref="G9:H9"/>
    <mergeCell ref="A13:H13"/>
    <mergeCell ref="G14:H14"/>
    <mergeCell ref="A19:H19"/>
  </mergeCells>
  <printOptions horizontalCentered="1"/>
  <pageMargins left="0.51181102362204722" right="0.51181102362204722" top="0.78740157480314965" bottom="0.78740157480314965" header="0.31496062992125984" footer="0.31496062992125984"/>
  <pageSetup paperSize="9" scale="73"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F7ED5-4708-4A4C-86D4-B003FFE6077B}">
  <sheetPr codeName="Planilha16">
    <tabColor theme="7" tint="0.39997558519241921"/>
    <pageSetUpPr fitToPage="1"/>
  </sheetPr>
  <dimension ref="A1:AH47"/>
  <sheetViews>
    <sheetView showGridLines="0" zoomScale="70" zoomScaleNormal="70" workbookViewId="0">
      <pane xSplit="1" ySplit="10" topLeftCell="B40" activePane="bottomRight" state="frozen"/>
      <selection pane="topRight" activeCell="B1" sqref="B1"/>
      <selection pane="bottomLeft" activeCell="A11" sqref="A11"/>
      <selection pane="bottomRight" activeCell="H49" sqref="H49"/>
    </sheetView>
  </sheetViews>
  <sheetFormatPr defaultColWidth="8.85546875" defaultRowHeight="12.75"/>
  <cols>
    <col min="1" max="1" width="22.28515625" style="898" customWidth="1"/>
    <col min="2" max="2" width="6.7109375" style="898" customWidth="1"/>
    <col min="3" max="3" width="5.140625" style="898" customWidth="1"/>
    <col min="4" max="4" width="6.7109375" style="898" customWidth="1"/>
    <col min="5" max="5" width="5.140625" style="898" customWidth="1"/>
    <col min="6" max="6" width="14.28515625" style="898" customWidth="1"/>
    <col min="7" max="7" width="12.28515625" style="898" customWidth="1"/>
    <col min="8" max="11" width="13.7109375" style="898" customWidth="1"/>
    <col min="12" max="13" width="14.42578125" style="898" customWidth="1"/>
    <col min="14" max="14" width="25.7109375" style="898" customWidth="1"/>
    <col min="15" max="15" width="15.7109375" style="898" customWidth="1"/>
    <col min="16" max="16" width="20.28515625" style="898" customWidth="1"/>
    <col min="17" max="17" width="20.7109375" style="898" customWidth="1"/>
    <col min="18" max="19" width="18.140625" style="898" customWidth="1"/>
    <col min="20" max="20" width="23.28515625" style="898" customWidth="1"/>
    <col min="21" max="22" width="18.140625" style="898" customWidth="1"/>
    <col min="23" max="23" width="16" style="898" customWidth="1"/>
    <col min="24" max="24" width="11.28515625" style="898" customWidth="1"/>
    <col min="25" max="25" width="18" style="898" customWidth="1"/>
    <col min="26" max="26" width="29" style="898" customWidth="1"/>
    <col min="27" max="27" width="16.140625" style="898" customWidth="1"/>
    <col min="28" max="28" width="13.140625" style="898" customWidth="1"/>
    <col min="29" max="29" width="16.7109375" style="898" customWidth="1"/>
    <col min="30" max="34" width="16" style="898" customWidth="1"/>
    <col min="35" max="265" width="8.85546875" style="898"/>
    <col min="266" max="266" width="37.140625" style="898" bestFit="1" customWidth="1"/>
    <col min="267" max="272" width="14.42578125" style="898" customWidth="1"/>
    <col min="273" max="277" width="20.28515625" style="898" customWidth="1"/>
    <col min="278" max="278" width="19.140625" style="898" customWidth="1"/>
    <col min="279" max="279" width="19" style="898" customWidth="1"/>
    <col min="280" max="521" width="8.85546875" style="898"/>
    <col min="522" max="522" width="37.140625" style="898" bestFit="1" customWidth="1"/>
    <col min="523" max="528" width="14.42578125" style="898" customWidth="1"/>
    <col min="529" max="533" width="20.28515625" style="898" customWidth="1"/>
    <col min="534" max="534" width="19.140625" style="898" customWidth="1"/>
    <col min="535" max="535" width="19" style="898" customWidth="1"/>
    <col min="536" max="777" width="8.85546875" style="898"/>
    <col min="778" max="778" width="37.140625" style="898" bestFit="1" customWidth="1"/>
    <col min="779" max="784" width="14.42578125" style="898" customWidth="1"/>
    <col min="785" max="789" width="20.28515625" style="898" customWidth="1"/>
    <col min="790" max="790" width="19.140625" style="898" customWidth="1"/>
    <col min="791" max="791" width="19" style="898" customWidth="1"/>
    <col min="792" max="1033" width="8.85546875" style="898"/>
    <col min="1034" max="1034" width="37.140625" style="898" bestFit="1" customWidth="1"/>
    <col min="1035" max="1040" width="14.42578125" style="898" customWidth="1"/>
    <col min="1041" max="1045" width="20.28515625" style="898" customWidth="1"/>
    <col min="1046" max="1046" width="19.140625" style="898" customWidth="1"/>
    <col min="1047" max="1047" width="19" style="898" customWidth="1"/>
    <col min="1048" max="1289" width="8.85546875" style="898"/>
    <col min="1290" max="1290" width="37.140625" style="898" bestFit="1" customWidth="1"/>
    <col min="1291" max="1296" width="14.42578125" style="898" customWidth="1"/>
    <col min="1297" max="1301" width="20.28515625" style="898" customWidth="1"/>
    <col min="1302" max="1302" width="19.140625" style="898" customWidth="1"/>
    <col min="1303" max="1303" width="19" style="898" customWidth="1"/>
    <col min="1304" max="1545" width="8.85546875" style="898"/>
    <col min="1546" max="1546" width="37.140625" style="898" bestFit="1" customWidth="1"/>
    <col min="1547" max="1552" width="14.42578125" style="898" customWidth="1"/>
    <col min="1553" max="1557" width="20.28515625" style="898" customWidth="1"/>
    <col min="1558" max="1558" width="19.140625" style="898" customWidth="1"/>
    <col min="1559" max="1559" width="19" style="898" customWidth="1"/>
    <col min="1560" max="1801" width="8.85546875" style="898"/>
    <col min="1802" max="1802" width="37.140625" style="898" bestFit="1" customWidth="1"/>
    <col min="1803" max="1808" width="14.42578125" style="898" customWidth="1"/>
    <col min="1809" max="1813" width="20.28515625" style="898" customWidth="1"/>
    <col min="1814" max="1814" width="19.140625" style="898" customWidth="1"/>
    <col min="1815" max="1815" width="19" style="898" customWidth="1"/>
    <col min="1816" max="2057" width="8.85546875" style="898"/>
    <col min="2058" max="2058" width="37.140625" style="898" bestFit="1" customWidth="1"/>
    <col min="2059" max="2064" width="14.42578125" style="898" customWidth="1"/>
    <col min="2065" max="2069" width="20.28515625" style="898" customWidth="1"/>
    <col min="2070" max="2070" width="19.140625" style="898" customWidth="1"/>
    <col min="2071" max="2071" width="19" style="898" customWidth="1"/>
    <col min="2072" max="2313" width="8.85546875" style="898"/>
    <col min="2314" max="2314" width="37.140625" style="898" bestFit="1" customWidth="1"/>
    <col min="2315" max="2320" width="14.42578125" style="898" customWidth="1"/>
    <col min="2321" max="2325" width="20.28515625" style="898" customWidth="1"/>
    <col min="2326" max="2326" width="19.140625" style="898" customWidth="1"/>
    <col min="2327" max="2327" width="19" style="898" customWidth="1"/>
    <col min="2328" max="2569" width="8.85546875" style="898"/>
    <col min="2570" max="2570" width="37.140625" style="898" bestFit="1" customWidth="1"/>
    <col min="2571" max="2576" width="14.42578125" style="898" customWidth="1"/>
    <col min="2577" max="2581" width="20.28515625" style="898" customWidth="1"/>
    <col min="2582" max="2582" width="19.140625" style="898" customWidth="1"/>
    <col min="2583" max="2583" width="19" style="898" customWidth="1"/>
    <col min="2584" max="2825" width="8.85546875" style="898"/>
    <col min="2826" max="2826" width="37.140625" style="898" bestFit="1" customWidth="1"/>
    <col min="2827" max="2832" width="14.42578125" style="898" customWidth="1"/>
    <col min="2833" max="2837" width="20.28515625" style="898" customWidth="1"/>
    <col min="2838" max="2838" width="19.140625" style="898" customWidth="1"/>
    <col min="2839" max="2839" width="19" style="898" customWidth="1"/>
    <col min="2840" max="3081" width="8.85546875" style="898"/>
    <col min="3082" max="3082" width="37.140625" style="898" bestFit="1" customWidth="1"/>
    <col min="3083" max="3088" width="14.42578125" style="898" customWidth="1"/>
    <col min="3089" max="3093" width="20.28515625" style="898" customWidth="1"/>
    <col min="3094" max="3094" width="19.140625" style="898" customWidth="1"/>
    <col min="3095" max="3095" width="19" style="898" customWidth="1"/>
    <col min="3096" max="3337" width="8.85546875" style="898"/>
    <col min="3338" max="3338" width="37.140625" style="898" bestFit="1" customWidth="1"/>
    <col min="3339" max="3344" width="14.42578125" style="898" customWidth="1"/>
    <col min="3345" max="3349" width="20.28515625" style="898" customWidth="1"/>
    <col min="3350" max="3350" width="19.140625" style="898" customWidth="1"/>
    <col min="3351" max="3351" width="19" style="898" customWidth="1"/>
    <col min="3352" max="3593" width="8.85546875" style="898"/>
    <col min="3594" max="3594" width="37.140625" style="898" bestFit="1" customWidth="1"/>
    <col min="3595" max="3600" width="14.42578125" style="898" customWidth="1"/>
    <col min="3601" max="3605" width="20.28515625" style="898" customWidth="1"/>
    <col min="3606" max="3606" width="19.140625" style="898" customWidth="1"/>
    <col min="3607" max="3607" width="19" style="898" customWidth="1"/>
    <col min="3608" max="3849" width="8.85546875" style="898"/>
    <col min="3850" max="3850" width="37.140625" style="898" bestFit="1" customWidth="1"/>
    <col min="3851" max="3856" width="14.42578125" style="898" customWidth="1"/>
    <col min="3857" max="3861" width="20.28515625" style="898" customWidth="1"/>
    <col min="3862" max="3862" width="19.140625" style="898" customWidth="1"/>
    <col min="3863" max="3863" width="19" style="898" customWidth="1"/>
    <col min="3864" max="4105" width="8.85546875" style="898"/>
    <col min="4106" max="4106" width="37.140625" style="898" bestFit="1" customWidth="1"/>
    <col min="4107" max="4112" width="14.42578125" style="898" customWidth="1"/>
    <col min="4113" max="4117" width="20.28515625" style="898" customWidth="1"/>
    <col min="4118" max="4118" width="19.140625" style="898" customWidth="1"/>
    <col min="4119" max="4119" width="19" style="898" customWidth="1"/>
    <col min="4120" max="4361" width="8.85546875" style="898"/>
    <col min="4362" max="4362" width="37.140625" style="898" bestFit="1" customWidth="1"/>
    <col min="4363" max="4368" width="14.42578125" style="898" customWidth="1"/>
    <col min="4369" max="4373" width="20.28515625" style="898" customWidth="1"/>
    <col min="4374" max="4374" width="19.140625" style="898" customWidth="1"/>
    <col min="4375" max="4375" width="19" style="898" customWidth="1"/>
    <col min="4376" max="4617" width="8.85546875" style="898"/>
    <col min="4618" max="4618" width="37.140625" style="898" bestFit="1" customWidth="1"/>
    <col min="4619" max="4624" width="14.42578125" style="898" customWidth="1"/>
    <col min="4625" max="4629" width="20.28515625" style="898" customWidth="1"/>
    <col min="4630" max="4630" width="19.140625" style="898" customWidth="1"/>
    <col min="4631" max="4631" width="19" style="898" customWidth="1"/>
    <col min="4632" max="4873" width="8.85546875" style="898"/>
    <col min="4874" max="4874" width="37.140625" style="898" bestFit="1" customWidth="1"/>
    <col min="4875" max="4880" width="14.42578125" style="898" customWidth="1"/>
    <col min="4881" max="4885" width="20.28515625" style="898" customWidth="1"/>
    <col min="4886" max="4886" width="19.140625" style="898" customWidth="1"/>
    <col min="4887" max="4887" width="19" style="898" customWidth="1"/>
    <col min="4888" max="5129" width="8.85546875" style="898"/>
    <col min="5130" max="5130" width="37.140625" style="898" bestFit="1" customWidth="1"/>
    <col min="5131" max="5136" width="14.42578125" style="898" customWidth="1"/>
    <col min="5137" max="5141" width="20.28515625" style="898" customWidth="1"/>
    <col min="5142" max="5142" width="19.140625" style="898" customWidth="1"/>
    <col min="5143" max="5143" width="19" style="898" customWidth="1"/>
    <col min="5144" max="5385" width="8.85546875" style="898"/>
    <col min="5386" max="5386" width="37.140625" style="898" bestFit="1" customWidth="1"/>
    <col min="5387" max="5392" width="14.42578125" style="898" customWidth="1"/>
    <col min="5393" max="5397" width="20.28515625" style="898" customWidth="1"/>
    <col min="5398" max="5398" width="19.140625" style="898" customWidth="1"/>
    <col min="5399" max="5399" width="19" style="898" customWidth="1"/>
    <col min="5400" max="5641" width="8.85546875" style="898"/>
    <col min="5642" max="5642" width="37.140625" style="898" bestFit="1" customWidth="1"/>
    <col min="5643" max="5648" width="14.42578125" style="898" customWidth="1"/>
    <col min="5649" max="5653" width="20.28515625" style="898" customWidth="1"/>
    <col min="5654" max="5654" width="19.140625" style="898" customWidth="1"/>
    <col min="5655" max="5655" width="19" style="898" customWidth="1"/>
    <col min="5656" max="5897" width="8.85546875" style="898"/>
    <col min="5898" max="5898" width="37.140625" style="898" bestFit="1" customWidth="1"/>
    <col min="5899" max="5904" width="14.42578125" style="898" customWidth="1"/>
    <col min="5905" max="5909" width="20.28515625" style="898" customWidth="1"/>
    <col min="5910" max="5910" width="19.140625" style="898" customWidth="1"/>
    <col min="5911" max="5911" width="19" style="898" customWidth="1"/>
    <col min="5912" max="6153" width="8.85546875" style="898"/>
    <col min="6154" max="6154" width="37.140625" style="898" bestFit="1" customWidth="1"/>
    <col min="6155" max="6160" width="14.42578125" style="898" customWidth="1"/>
    <col min="6161" max="6165" width="20.28515625" style="898" customWidth="1"/>
    <col min="6166" max="6166" width="19.140625" style="898" customWidth="1"/>
    <col min="6167" max="6167" width="19" style="898" customWidth="1"/>
    <col min="6168" max="6409" width="8.85546875" style="898"/>
    <col min="6410" max="6410" width="37.140625" style="898" bestFit="1" customWidth="1"/>
    <col min="6411" max="6416" width="14.42578125" style="898" customWidth="1"/>
    <col min="6417" max="6421" width="20.28515625" style="898" customWidth="1"/>
    <col min="6422" max="6422" width="19.140625" style="898" customWidth="1"/>
    <col min="6423" max="6423" width="19" style="898" customWidth="1"/>
    <col min="6424" max="6665" width="8.85546875" style="898"/>
    <col min="6666" max="6666" width="37.140625" style="898" bestFit="1" customWidth="1"/>
    <col min="6667" max="6672" width="14.42578125" style="898" customWidth="1"/>
    <col min="6673" max="6677" width="20.28515625" style="898" customWidth="1"/>
    <col min="6678" max="6678" width="19.140625" style="898" customWidth="1"/>
    <col min="6679" max="6679" width="19" style="898" customWidth="1"/>
    <col min="6680" max="6921" width="8.85546875" style="898"/>
    <col min="6922" max="6922" width="37.140625" style="898" bestFit="1" customWidth="1"/>
    <col min="6923" max="6928" width="14.42578125" style="898" customWidth="1"/>
    <col min="6929" max="6933" width="20.28515625" style="898" customWidth="1"/>
    <col min="6934" max="6934" width="19.140625" style="898" customWidth="1"/>
    <col min="6935" max="6935" width="19" style="898" customWidth="1"/>
    <col min="6936" max="7177" width="8.85546875" style="898"/>
    <col min="7178" max="7178" width="37.140625" style="898" bestFit="1" customWidth="1"/>
    <col min="7179" max="7184" width="14.42578125" style="898" customWidth="1"/>
    <col min="7185" max="7189" width="20.28515625" style="898" customWidth="1"/>
    <col min="7190" max="7190" width="19.140625" style="898" customWidth="1"/>
    <col min="7191" max="7191" width="19" style="898" customWidth="1"/>
    <col min="7192" max="7433" width="8.85546875" style="898"/>
    <col min="7434" max="7434" width="37.140625" style="898" bestFit="1" customWidth="1"/>
    <col min="7435" max="7440" width="14.42578125" style="898" customWidth="1"/>
    <col min="7441" max="7445" width="20.28515625" style="898" customWidth="1"/>
    <col min="7446" max="7446" width="19.140625" style="898" customWidth="1"/>
    <col min="7447" max="7447" width="19" style="898" customWidth="1"/>
    <col min="7448" max="7689" width="8.85546875" style="898"/>
    <col min="7690" max="7690" width="37.140625" style="898" bestFit="1" customWidth="1"/>
    <col min="7691" max="7696" width="14.42578125" style="898" customWidth="1"/>
    <col min="7697" max="7701" width="20.28515625" style="898" customWidth="1"/>
    <col min="7702" max="7702" width="19.140625" style="898" customWidth="1"/>
    <col min="7703" max="7703" width="19" style="898" customWidth="1"/>
    <col min="7704" max="7945" width="8.85546875" style="898"/>
    <col min="7946" max="7946" width="37.140625" style="898" bestFit="1" customWidth="1"/>
    <col min="7947" max="7952" width="14.42578125" style="898" customWidth="1"/>
    <col min="7953" max="7957" width="20.28515625" style="898" customWidth="1"/>
    <col min="7958" max="7958" width="19.140625" style="898" customWidth="1"/>
    <col min="7959" max="7959" width="19" style="898" customWidth="1"/>
    <col min="7960" max="8201" width="8.85546875" style="898"/>
    <col min="8202" max="8202" width="37.140625" style="898" bestFit="1" customWidth="1"/>
    <col min="8203" max="8208" width="14.42578125" style="898" customWidth="1"/>
    <col min="8209" max="8213" width="20.28515625" style="898" customWidth="1"/>
    <col min="8214" max="8214" width="19.140625" style="898" customWidth="1"/>
    <col min="8215" max="8215" width="19" style="898" customWidth="1"/>
    <col min="8216" max="8457" width="8.85546875" style="898"/>
    <col min="8458" max="8458" width="37.140625" style="898" bestFit="1" customWidth="1"/>
    <col min="8459" max="8464" width="14.42578125" style="898" customWidth="1"/>
    <col min="8465" max="8469" width="20.28515625" style="898" customWidth="1"/>
    <col min="8470" max="8470" width="19.140625" style="898" customWidth="1"/>
    <col min="8471" max="8471" width="19" style="898" customWidth="1"/>
    <col min="8472" max="8713" width="8.85546875" style="898"/>
    <col min="8714" max="8714" width="37.140625" style="898" bestFit="1" customWidth="1"/>
    <col min="8715" max="8720" width="14.42578125" style="898" customWidth="1"/>
    <col min="8721" max="8725" width="20.28515625" style="898" customWidth="1"/>
    <col min="8726" max="8726" width="19.140625" style="898" customWidth="1"/>
    <col min="8727" max="8727" width="19" style="898" customWidth="1"/>
    <col min="8728" max="8969" width="8.85546875" style="898"/>
    <col min="8970" max="8970" width="37.140625" style="898" bestFit="1" customWidth="1"/>
    <col min="8971" max="8976" width="14.42578125" style="898" customWidth="1"/>
    <col min="8977" max="8981" width="20.28515625" style="898" customWidth="1"/>
    <col min="8982" max="8982" width="19.140625" style="898" customWidth="1"/>
    <col min="8983" max="8983" width="19" style="898" customWidth="1"/>
    <col min="8984" max="9225" width="8.85546875" style="898"/>
    <col min="9226" max="9226" width="37.140625" style="898" bestFit="1" customWidth="1"/>
    <col min="9227" max="9232" width="14.42578125" style="898" customWidth="1"/>
    <col min="9233" max="9237" width="20.28515625" style="898" customWidth="1"/>
    <col min="9238" max="9238" width="19.140625" style="898" customWidth="1"/>
    <col min="9239" max="9239" width="19" style="898" customWidth="1"/>
    <col min="9240" max="9481" width="8.85546875" style="898"/>
    <col min="9482" max="9482" width="37.140625" style="898" bestFit="1" customWidth="1"/>
    <col min="9483" max="9488" width="14.42578125" style="898" customWidth="1"/>
    <col min="9489" max="9493" width="20.28515625" style="898" customWidth="1"/>
    <col min="9494" max="9494" width="19.140625" style="898" customWidth="1"/>
    <col min="9495" max="9495" width="19" style="898" customWidth="1"/>
    <col min="9496" max="9737" width="8.85546875" style="898"/>
    <col min="9738" max="9738" width="37.140625" style="898" bestFit="1" customWidth="1"/>
    <col min="9739" max="9744" width="14.42578125" style="898" customWidth="1"/>
    <col min="9745" max="9749" width="20.28515625" style="898" customWidth="1"/>
    <col min="9750" max="9750" width="19.140625" style="898" customWidth="1"/>
    <col min="9751" max="9751" width="19" style="898" customWidth="1"/>
    <col min="9752" max="9993" width="8.85546875" style="898"/>
    <col min="9994" max="9994" width="37.140625" style="898" bestFit="1" customWidth="1"/>
    <col min="9995" max="10000" width="14.42578125" style="898" customWidth="1"/>
    <col min="10001" max="10005" width="20.28515625" style="898" customWidth="1"/>
    <col min="10006" max="10006" width="19.140625" style="898" customWidth="1"/>
    <col min="10007" max="10007" width="19" style="898" customWidth="1"/>
    <col min="10008" max="10249" width="8.85546875" style="898"/>
    <col min="10250" max="10250" width="37.140625" style="898" bestFit="1" customWidth="1"/>
    <col min="10251" max="10256" width="14.42578125" style="898" customWidth="1"/>
    <col min="10257" max="10261" width="20.28515625" style="898" customWidth="1"/>
    <col min="10262" max="10262" width="19.140625" style="898" customWidth="1"/>
    <col min="10263" max="10263" width="19" style="898" customWidth="1"/>
    <col min="10264" max="10505" width="8.85546875" style="898"/>
    <col min="10506" max="10506" width="37.140625" style="898" bestFit="1" customWidth="1"/>
    <col min="10507" max="10512" width="14.42578125" style="898" customWidth="1"/>
    <col min="10513" max="10517" width="20.28515625" style="898" customWidth="1"/>
    <col min="10518" max="10518" width="19.140625" style="898" customWidth="1"/>
    <col min="10519" max="10519" width="19" style="898" customWidth="1"/>
    <col min="10520" max="10761" width="8.85546875" style="898"/>
    <col min="10762" max="10762" width="37.140625" style="898" bestFit="1" customWidth="1"/>
    <col min="10763" max="10768" width="14.42578125" style="898" customWidth="1"/>
    <col min="10769" max="10773" width="20.28515625" style="898" customWidth="1"/>
    <col min="10774" max="10774" width="19.140625" style="898" customWidth="1"/>
    <col min="10775" max="10775" width="19" style="898" customWidth="1"/>
    <col min="10776" max="11017" width="8.85546875" style="898"/>
    <col min="11018" max="11018" width="37.140625" style="898" bestFit="1" customWidth="1"/>
    <col min="11019" max="11024" width="14.42578125" style="898" customWidth="1"/>
    <col min="11025" max="11029" width="20.28515625" style="898" customWidth="1"/>
    <col min="11030" max="11030" width="19.140625" style="898" customWidth="1"/>
    <col min="11031" max="11031" width="19" style="898" customWidth="1"/>
    <col min="11032" max="11273" width="8.85546875" style="898"/>
    <col min="11274" max="11274" width="37.140625" style="898" bestFit="1" customWidth="1"/>
    <col min="11275" max="11280" width="14.42578125" style="898" customWidth="1"/>
    <col min="11281" max="11285" width="20.28515625" style="898" customWidth="1"/>
    <col min="11286" max="11286" width="19.140625" style="898" customWidth="1"/>
    <col min="11287" max="11287" width="19" style="898" customWidth="1"/>
    <col min="11288" max="11529" width="8.85546875" style="898"/>
    <col min="11530" max="11530" width="37.140625" style="898" bestFit="1" customWidth="1"/>
    <col min="11531" max="11536" width="14.42578125" style="898" customWidth="1"/>
    <col min="11537" max="11541" width="20.28515625" style="898" customWidth="1"/>
    <col min="11542" max="11542" width="19.140625" style="898" customWidth="1"/>
    <col min="11543" max="11543" width="19" style="898" customWidth="1"/>
    <col min="11544" max="11785" width="8.85546875" style="898"/>
    <col min="11786" max="11786" width="37.140625" style="898" bestFit="1" customWidth="1"/>
    <col min="11787" max="11792" width="14.42578125" style="898" customWidth="1"/>
    <col min="11793" max="11797" width="20.28515625" style="898" customWidth="1"/>
    <col min="11798" max="11798" width="19.140625" style="898" customWidth="1"/>
    <col min="11799" max="11799" width="19" style="898" customWidth="1"/>
    <col min="11800" max="12041" width="8.85546875" style="898"/>
    <col min="12042" max="12042" width="37.140625" style="898" bestFit="1" customWidth="1"/>
    <col min="12043" max="12048" width="14.42578125" style="898" customWidth="1"/>
    <col min="12049" max="12053" width="20.28515625" style="898" customWidth="1"/>
    <col min="12054" max="12054" width="19.140625" style="898" customWidth="1"/>
    <col min="12055" max="12055" width="19" style="898" customWidth="1"/>
    <col min="12056" max="12297" width="8.85546875" style="898"/>
    <col min="12298" max="12298" width="37.140625" style="898" bestFit="1" customWidth="1"/>
    <col min="12299" max="12304" width="14.42578125" style="898" customWidth="1"/>
    <col min="12305" max="12309" width="20.28515625" style="898" customWidth="1"/>
    <col min="12310" max="12310" width="19.140625" style="898" customWidth="1"/>
    <col min="12311" max="12311" width="19" style="898" customWidth="1"/>
    <col min="12312" max="12553" width="8.85546875" style="898"/>
    <col min="12554" max="12554" width="37.140625" style="898" bestFit="1" customWidth="1"/>
    <col min="12555" max="12560" width="14.42578125" style="898" customWidth="1"/>
    <col min="12561" max="12565" width="20.28515625" style="898" customWidth="1"/>
    <col min="12566" max="12566" width="19.140625" style="898" customWidth="1"/>
    <col min="12567" max="12567" width="19" style="898" customWidth="1"/>
    <col min="12568" max="12809" width="8.85546875" style="898"/>
    <col min="12810" max="12810" width="37.140625" style="898" bestFit="1" customWidth="1"/>
    <col min="12811" max="12816" width="14.42578125" style="898" customWidth="1"/>
    <col min="12817" max="12821" width="20.28515625" style="898" customWidth="1"/>
    <col min="12822" max="12822" width="19.140625" style="898" customWidth="1"/>
    <col min="12823" max="12823" width="19" style="898" customWidth="1"/>
    <col min="12824" max="13065" width="8.85546875" style="898"/>
    <col min="13066" max="13066" width="37.140625" style="898" bestFit="1" customWidth="1"/>
    <col min="13067" max="13072" width="14.42578125" style="898" customWidth="1"/>
    <col min="13073" max="13077" width="20.28515625" style="898" customWidth="1"/>
    <col min="13078" max="13078" width="19.140625" style="898" customWidth="1"/>
    <col min="13079" max="13079" width="19" style="898" customWidth="1"/>
    <col min="13080" max="13321" width="8.85546875" style="898"/>
    <col min="13322" max="13322" width="37.140625" style="898" bestFit="1" customWidth="1"/>
    <col min="13323" max="13328" width="14.42578125" style="898" customWidth="1"/>
    <col min="13329" max="13333" width="20.28515625" style="898" customWidth="1"/>
    <col min="13334" max="13334" width="19.140625" style="898" customWidth="1"/>
    <col min="13335" max="13335" width="19" style="898" customWidth="1"/>
    <col min="13336" max="13577" width="8.85546875" style="898"/>
    <col min="13578" max="13578" width="37.140625" style="898" bestFit="1" customWidth="1"/>
    <col min="13579" max="13584" width="14.42578125" style="898" customWidth="1"/>
    <col min="13585" max="13589" width="20.28515625" style="898" customWidth="1"/>
    <col min="13590" max="13590" width="19.140625" style="898" customWidth="1"/>
    <col min="13591" max="13591" width="19" style="898" customWidth="1"/>
    <col min="13592" max="13833" width="8.85546875" style="898"/>
    <col min="13834" max="13834" width="37.140625" style="898" bestFit="1" customWidth="1"/>
    <col min="13835" max="13840" width="14.42578125" style="898" customWidth="1"/>
    <col min="13841" max="13845" width="20.28515625" style="898" customWidth="1"/>
    <col min="13846" max="13846" width="19.140625" style="898" customWidth="1"/>
    <col min="13847" max="13847" width="19" style="898" customWidth="1"/>
    <col min="13848" max="14089" width="8.85546875" style="898"/>
    <col min="14090" max="14090" width="37.140625" style="898" bestFit="1" customWidth="1"/>
    <col min="14091" max="14096" width="14.42578125" style="898" customWidth="1"/>
    <col min="14097" max="14101" width="20.28515625" style="898" customWidth="1"/>
    <col min="14102" max="14102" width="19.140625" style="898" customWidth="1"/>
    <col min="14103" max="14103" width="19" style="898" customWidth="1"/>
    <col min="14104" max="14345" width="8.85546875" style="898"/>
    <col min="14346" max="14346" width="37.140625" style="898" bestFit="1" customWidth="1"/>
    <col min="14347" max="14352" width="14.42578125" style="898" customWidth="1"/>
    <col min="14353" max="14357" width="20.28515625" style="898" customWidth="1"/>
    <col min="14358" max="14358" width="19.140625" style="898" customWidth="1"/>
    <col min="14359" max="14359" width="19" style="898" customWidth="1"/>
    <col min="14360" max="14601" width="8.85546875" style="898"/>
    <col min="14602" max="14602" width="37.140625" style="898" bestFit="1" customWidth="1"/>
    <col min="14603" max="14608" width="14.42578125" style="898" customWidth="1"/>
    <col min="14609" max="14613" width="20.28515625" style="898" customWidth="1"/>
    <col min="14614" max="14614" width="19.140625" style="898" customWidth="1"/>
    <col min="14615" max="14615" width="19" style="898" customWidth="1"/>
    <col min="14616" max="14857" width="8.85546875" style="898"/>
    <col min="14858" max="14858" width="37.140625" style="898" bestFit="1" customWidth="1"/>
    <col min="14859" max="14864" width="14.42578125" style="898" customWidth="1"/>
    <col min="14865" max="14869" width="20.28515625" style="898" customWidth="1"/>
    <col min="14870" max="14870" width="19.140625" style="898" customWidth="1"/>
    <col min="14871" max="14871" width="19" style="898" customWidth="1"/>
    <col min="14872" max="15113" width="8.85546875" style="898"/>
    <col min="15114" max="15114" width="37.140625" style="898" bestFit="1" customWidth="1"/>
    <col min="15115" max="15120" width="14.42578125" style="898" customWidth="1"/>
    <col min="15121" max="15125" width="20.28515625" style="898" customWidth="1"/>
    <col min="15126" max="15126" width="19.140625" style="898" customWidth="1"/>
    <col min="15127" max="15127" width="19" style="898" customWidth="1"/>
    <col min="15128" max="15369" width="8.85546875" style="898"/>
    <col min="15370" max="15370" width="37.140625" style="898" bestFit="1" customWidth="1"/>
    <col min="15371" max="15376" width="14.42578125" style="898" customWidth="1"/>
    <col min="15377" max="15381" width="20.28515625" style="898" customWidth="1"/>
    <col min="15382" max="15382" width="19.140625" style="898" customWidth="1"/>
    <col min="15383" max="15383" width="19" style="898" customWidth="1"/>
    <col min="15384" max="15625" width="8.85546875" style="898"/>
    <col min="15626" max="15626" width="37.140625" style="898" bestFit="1" customWidth="1"/>
    <col min="15627" max="15632" width="14.42578125" style="898" customWidth="1"/>
    <col min="15633" max="15637" width="20.28515625" style="898" customWidth="1"/>
    <col min="15638" max="15638" width="19.140625" style="898" customWidth="1"/>
    <col min="15639" max="15639" width="19" style="898" customWidth="1"/>
    <col min="15640" max="15881" width="8.85546875" style="898"/>
    <col min="15882" max="15882" width="37.140625" style="898" bestFit="1" customWidth="1"/>
    <col min="15883" max="15888" width="14.42578125" style="898" customWidth="1"/>
    <col min="15889" max="15893" width="20.28515625" style="898" customWidth="1"/>
    <col min="15894" max="15894" width="19.140625" style="898" customWidth="1"/>
    <col min="15895" max="15895" width="19" style="898" customWidth="1"/>
    <col min="15896" max="16137" width="8.85546875" style="898"/>
    <col min="16138" max="16138" width="37.140625" style="898" bestFit="1" customWidth="1"/>
    <col min="16139" max="16144" width="14.42578125" style="898" customWidth="1"/>
    <col min="16145" max="16149" width="20.28515625" style="898" customWidth="1"/>
    <col min="16150" max="16150" width="19.140625" style="898" customWidth="1"/>
    <col min="16151" max="16151" width="19" style="898" customWidth="1"/>
    <col min="16152" max="16384" width="8.85546875" style="898"/>
  </cols>
  <sheetData>
    <row r="1" spans="1:34" s="896" customFormat="1" ht="57.75" customHeight="1">
      <c r="A1" s="895"/>
      <c r="B1" s="1702" t="s">
        <v>1403</v>
      </c>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row>
    <row r="2" spans="1:34" s="896" customFormat="1" ht="24" customHeight="1">
      <c r="A2" s="1703" t="str">
        <f>'PLANILHA GERAL'!D9</f>
        <v>OBRAS DE PREVENÇÕES DE ALAGAMENTOS E CHEIAS, INFRAESTRUTURA URBANA E CONSTRUÇÕES DIVERSAS NO MUNICÍPIO DE ANANINDEUA/PA</v>
      </c>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1704"/>
      <c r="AA2" s="1704"/>
      <c r="AB2" s="1704"/>
      <c r="AC2" s="1704"/>
      <c r="AD2" s="1704"/>
      <c r="AE2" s="1704"/>
      <c r="AF2" s="1704"/>
      <c r="AG2" s="1704"/>
    </row>
    <row r="3" spans="1:34" s="896" customFormat="1" ht="24" customHeight="1">
      <c r="A3" s="1704" t="s">
        <v>1814</v>
      </c>
      <c r="B3" s="1704"/>
      <c r="C3" s="1704"/>
      <c r="D3" s="1704"/>
      <c r="E3" s="1704"/>
      <c r="F3" s="1704"/>
      <c r="G3" s="1704"/>
      <c r="H3" s="1704"/>
      <c r="I3" s="1704"/>
      <c r="J3" s="1704"/>
      <c r="K3" s="1704"/>
      <c r="L3" s="1704"/>
      <c r="M3" s="1704"/>
      <c r="N3" s="1704"/>
      <c r="O3" s="1704"/>
      <c r="P3" s="1704"/>
      <c r="Q3" s="1704"/>
      <c r="R3" s="1704"/>
      <c r="S3" s="1704"/>
      <c r="T3" s="1704"/>
      <c r="U3" s="1704"/>
      <c r="V3" s="1704"/>
      <c r="W3" s="1704"/>
      <c r="X3" s="1704"/>
      <c r="Y3" s="1704"/>
      <c r="Z3" s="1704"/>
      <c r="AA3" s="1704"/>
      <c r="AB3" s="1704"/>
      <c r="AC3" s="1704"/>
      <c r="AD3" s="1704"/>
      <c r="AE3" s="1704"/>
      <c r="AF3" s="1704"/>
      <c r="AG3" s="1704"/>
    </row>
    <row r="4" spans="1:34" s="896" customFormat="1" ht="14.25" customHeight="1">
      <c r="A4" s="1705"/>
      <c r="B4" s="1706"/>
      <c r="C4" s="1706"/>
      <c r="D4" s="1706"/>
      <c r="E4" s="1706"/>
      <c r="F4" s="1706"/>
      <c r="G4" s="1706"/>
      <c r="H4" s="1706"/>
      <c r="I4" s="1706"/>
      <c r="J4" s="1706"/>
      <c r="K4" s="1706"/>
      <c r="L4" s="1706"/>
      <c r="M4" s="1706"/>
      <c r="N4" s="1706"/>
      <c r="O4" s="1706"/>
      <c r="P4" s="1706"/>
      <c r="Q4" s="1706"/>
      <c r="R4" s="1706"/>
      <c r="S4" s="1706"/>
      <c r="T4" s="1706"/>
      <c r="U4" s="1706"/>
      <c r="V4" s="897"/>
    </row>
    <row r="5" spans="1:34" s="896" customFormat="1" ht="15.75" customHeight="1">
      <c r="A5" s="1707" t="s">
        <v>1405</v>
      </c>
      <c r="B5" s="1708"/>
      <c r="C5" s="1708"/>
      <c r="D5" s="1708"/>
      <c r="E5" s="1708"/>
      <c r="F5" s="1708"/>
      <c r="G5" s="1708"/>
      <c r="H5" s="1708"/>
      <c r="I5" s="1708"/>
      <c r="J5" s="1708"/>
      <c r="K5" s="1708"/>
      <c r="L5" s="1708"/>
      <c r="M5" s="1708"/>
      <c r="N5" s="1708"/>
      <c r="O5" s="1708"/>
      <c r="P5" s="1708"/>
      <c r="Q5" s="1708"/>
      <c r="R5" s="1708"/>
      <c r="S5" s="1708"/>
      <c r="T5" s="1708"/>
      <c r="U5" s="1708"/>
      <c r="V5" s="1708"/>
      <c r="W5" s="1709"/>
      <c r="X5" s="1713" t="s">
        <v>1406</v>
      </c>
      <c r="Y5" s="1714"/>
      <c r="Z5" s="1714"/>
      <c r="AA5" s="1714"/>
      <c r="AB5" s="1714"/>
      <c r="AC5" s="1714"/>
      <c r="AD5" s="1714"/>
      <c r="AE5" s="1714"/>
      <c r="AF5" s="1714"/>
      <c r="AG5" s="1715"/>
    </row>
    <row r="6" spans="1:34" ht="15.75" customHeight="1">
      <c r="A6" s="1710"/>
      <c r="B6" s="1711"/>
      <c r="C6" s="1711"/>
      <c r="D6" s="1711"/>
      <c r="E6" s="1711"/>
      <c r="F6" s="1711"/>
      <c r="G6" s="1711"/>
      <c r="H6" s="1711"/>
      <c r="I6" s="1711"/>
      <c r="J6" s="1711"/>
      <c r="K6" s="1711"/>
      <c r="L6" s="1711"/>
      <c r="M6" s="1711"/>
      <c r="N6" s="1711"/>
      <c r="O6" s="1711"/>
      <c r="P6" s="1711"/>
      <c r="Q6" s="1711"/>
      <c r="R6" s="1711"/>
      <c r="S6" s="1711"/>
      <c r="T6" s="1711"/>
      <c r="U6" s="1711"/>
      <c r="V6" s="1711"/>
      <c r="W6" s="1712"/>
      <c r="X6" s="1716"/>
      <c r="Y6" s="1717"/>
      <c r="Z6" s="1717"/>
      <c r="AA6" s="1717"/>
      <c r="AB6" s="1717"/>
      <c r="AC6" s="1717"/>
      <c r="AD6" s="1717"/>
      <c r="AE6" s="1717"/>
      <c r="AF6" s="1717"/>
      <c r="AG6" s="1718"/>
    </row>
    <row r="7" spans="1:34" s="902" customFormat="1" ht="55.5" customHeight="1">
      <c r="A7" s="1719" t="s">
        <v>309</v>
      </c>
      <c r="B7" s="1719" t="s">
        <v>770</v>
      </c>
      <c r="C7" s="1719"/>
      <c r="D7" s="1719"/>
      <c r="E7" s="1719"/>
      <c r="F7" s="1719" t="s">
        <v>329</v>
      </c>
      <c r="G7" s="1699" t="s">
        <v>1407</v>
      </c>
      <c r="H7" s="1699" t="s">
        <v>1408</v>
      </c>
      <c r="I7" s="1699" t="s">
        <v>1409</v>
      </c>
      <c r="J7" s="1699" t="s">
        <v>1410</v>
      </c>
      <c r="K7" s="1699" t="s">
        <v>1411</v>
      </c>
      <c r="L7" s="1699" t="s">
        <v>1412</v>
      </c>
      <c r="M7" s="1699" t="s">
        <v>1413</v>
      </c>
      <c r="N7" s="1699" t="s">
        <v>1414</v>
      </c>
      <c r="O7" s="1699"/>
      <c r="P7" s="1699" t="s">
        <v>1415</v>
      </c>
      <c r="Q7" s="1699" t="s">
        <v>1416</v>
      </c>
      <c r="R7" s="1699" t="s">
        <v>1417</v>
      </c>
      <c r="S7" s="1699" t="s">
        <v>1418</v>
      </c>
      <c r="T7" s="1699" t="s">
        <v>1419</v>
      </c>
      <c r="U7" s="1699" t="s">
        <v>1420</v>
      </c>
      <c r="V7" s="1699" t="s">
        <v>1418</v>
      </c>
      <c r="W7" s="1699" t="s">
        <v>1421</v>
      </c>
      <c r="X7" s="1699" t="s">
        <v>1422</v>
      </c>
      <c r="Y7" s="1699" t="s">
        <v>1423</v>
      </c>
      <c r="Z7" s="1699" t="s">
        <v>1424</v>
      </c>
      <c r="AA7" s="1699" t="s">
        <v>1425</v>
      </c>
      <c r="AB7" s="1699" t="s">
        <v>1426</v>
      </c>
      <c r="AC7" s="1699" t="s">
        <v>1427</v>
      </c>
      <c r="AD7" s="1699" t="s">
        <v>1428</v>
      </c>
      <c r="AE7" s="1699" t="s">
        <v>1429</v>
      </c>
      <c r="AF7" s="1700" t="s">
        <v>1430</v>
      </c>
      <c r="AG7" s="1701"/>
      <c r="AH7" s="901" t="s">
        <v>1431</v>
      </c>
    </row>
    <row r="8" spans="1:34" s="902" customFormat="1" ht="50.25" customHeight="1">
      <c r="A8" s="1719"/>
      <c r="B8" s="1719"/>
      <c r="C8" s="1719"/>
      <c r="D8" s="1719"/>
      <c r="E8" s="1719"/>
      <c r="F8" s="1719"/>
      <c r="G8" s="1699"/>
      <c r="H8" s="1699"/>
      <c r="I8" s="1699"/>
      <c r="J8" s="1699"/>
      <c r="K8" s="1699"/>
      <c r="L8" s="1699"/>
      <c r="M8" s="1699"/>
      <c r="N8" s="900" t="s">
        <v>1432</v>
      </c>
      <c r="O8" s="900" t="s">
        <v>1433</v>
      </c>
      <c r="P8" s="1699"/>
      <c r="Q8" s="1699"/>
      <c r="R8" s="1699"/>
      <c r="S8" s="1699"/>
      <c r="T8" s="1699"/>
      <c r="U8" s="1699"/>
      <c r="V8" s="1699"/>
      <c r="W8" s="1699"/>
      <c r="X8" s="1699"/>
      <c r="Y8" s="1699"/>
      <c r="Z8" s="1699"/>
      <c r="AA8" s="1699"/>
      <c r="AB8" s="1699"/>
      <c r="AC8" s="1699"/>
      <c r="AD8" s="1699"/>
      <c r="AE8" s="1699"/>
      <c r="AF8" s="903" t="s">
        <v>1434</v>
      </c>
      <c r="AG8" s="901" t="s">
        <v>1435</v>
      </c>
      <c r="AH8" s="901"/>
    </row>
    <row r="9" spans="1:34" s="902" customFormat="1" ht="21.2" customHeight="1">
      <c r="A9" s="1719"/>
      <c r="B9" s="1719" t="s">
        <v>1436</v>
      </c>
      <c r="C9" s="1719"/>
      <c r="D9" s="1719" t="s">
        <v>1437</v>
      </c>
      <c r="E9" s="1719"/>
      <c r="F9" s="899" t="s">
        <v>308</v>
      </c>
      <c r="G9" s="899" t="s">
        <v>308</v>
      </c>
      <c r="H9" s="899" t="s">
        <v>308</v>
      </c>
      <c r="I9" s="899" t="s">
        <v>308</v>
      </c>
      <c r="J9" s="899"/>
      <c r="K9" s="899" t="s">
        <v>308</v>
      </c>
      <c r="L9" s="899" t="s">
        <v>308</v>
      </c>
      <c r="M9" s="899"/>
      <c r="N9" s="899" t="s">
        <v>1438</v>
      </c>
      <c r="O9" s="899" t="s">
        <v>1438</v>
      </c>
      <c r="P9" s="899" t="s">
        <v>1439</v>
      </c>
      <c r="Q9" s="899" t="s">
        <v>1438</v>
      </c>
      <c r="R9" s="899" t="s">
        <v>1439</v>
      </c>
      <c r="S9" s="899" t="s">
        <v>1439</v>
      </c>
      <c r="T9" s="899" t="s">
        <v>1438</v>
      </c>
      <c r="U9" s="899" t="s">
        <v>1439</v>
      </c>
      <c r="V9" s="899" t="s">
        <v>1439</v>
      </c>
      <c r="W9" s="899" t="s">
        <v>1438</v>
      </c>
      <c r="X9" s="899" t="s">
        <v>308</v>
      </c>
      <c r="Y9" s="899" t="s">
        <v>308</v>
      </c>
      <c r="Z9" s="899" t="s">
        <v>308</v>
      </c>
      <c r="AA9" s="899" t="s">
        <v>1440</v>
      </c>
      <c r="AB9" s="899" t="s">
        <v>1441</v>
      </c>
      <c r="AC9" s="899" t="s">
        <v>1441</v>
      </c>
      <c r="AD9" s="899" t="s">
        <v>1442</v>
      </c>
      <c r="AE9" s="899" t="s">
        <v>1440</v>
      </c>
      <c r="AF9" s="899" t="s">
        <v>1440</v>
      </c>
      <c r="AG9" s="899" t="s">
        <v>1440</v>
      </c>
      <c r="AH9" s="899" t="s">
        <v>1441</v>
      </c>
    </row>
    <row r="10" spans="1:34" s="902" customFormat="1" ht="34.15" customHeight="1">
      <c r="A10" s="904" t="s">
        <v>1443</v>
      </c>
      <c r="B10" s="1720"/>
      <c r="C10" s="1720"/>
      <c r="D10" s="1720"/>
      <c r="E10" s="1720"/>
      <c r="F10" s="905" t="s">
        <v>50</v>
      </c>
      <c r="G10" s="905" t="s">
        <v>53</v>
      </c>
      <c r="H10" s="905" t="s">
        <v>113</v>
      </c>
      <c r="I10" s="905" t="s">
        <v>115</v>
      </c>
      <c r="J10" s="905" t="s">
        <v>117</v>
      </c>
      <c r="K10" s="905" t="s">
        <v>119</v>
      </c>
      <c r="L10" s="905" t="s">
        <v>7</v>
      </c>
      <c r="M10" s="905" t="s">
        <v>60</v>
      </c>
      <c r="N10" s="904"/>
      <c r="O10" s="904"/>
      <c r="P10" s="904"/>
      <c r="Q10" s="904"/>
      <c r="R10" s="904"/>
      <c r="S10" s="904"/>
      <c r="T10" s="904"/>
      <c r="U10" s="904"/>
      <c r="V10" s="904"/>
      <c r="W10" s="904"/>
      <c r="X10" s="906" t="s">
        <v>1444</v>
      </c>
      <c r="Y10" s="906"/>
      <c r="Z10" s="906"/>
      <c r="AA10" s="906"/>
      <c r="AB10" s="906"/>
      <c r="AC10" s="906"/>
      <c r="AD10" s="906"/>
      <c r="AE10" s="906"/>
      <c r="AF10" s="906"/>
      <c r="AG10" s="906"/>
      <c r="AH10" s="906"/>
    </row>
    <row r="11" spans="1:34" s="902" customFormat="1" ht="33" customHeight="1">
      <c r="A11" s="907"/>
      <c r="B11" s="908"/>
      <c r="C11" s="909"/>
      <c r="D11" s="908"/>
      <c r="E11" s="909"/>
      <c r="F11" s="910"/>
      <c r="G11" s="910"/>
      <c r="H11" s="911"/>
      <c r="I11" s="911"/>
      <c r="J11" s="911"/>
      <c r="K11" s="911"/>
      <c r="L11" s="911"/>
      <c r="M11" s="911"/>
      <c r="N11" s="910"/>
      <c r="O11" s="910"/>
      <c r="P11" s="910"/>
      <c r="Q11" s="910"/>
      <c r="R11" s="912"/>
      <c r="S11" s="912"/>
      <c r="T11" s="910"/>
      <c r="U11" s="912"/>
      <c r="V11" s="912"/>
      <c r="W11" s="910"/>
      <c r="X11" s="911"/>
      <c r="Y11" s="911"/>
      <c r="Z11" s="911"/>
      <c r="AA11" s="911"/>
      <c r="AB11" s="911"/>
      <c r="AC11" s="911"/>
      <c r="AD11" s="911"/>
      <c r="AE11" s="911"/>
      <c r="AF11" s="911"/>
      <c r="AG11" s="911"/>
      <c r="AH11" s="911"/>
    </row>
    <row r="12" spans="1:34" s="902" customFormat="1" ht="33" customHeight="1">
      <c r="A12" s="907"/>
      <c r="B12" s="908"/>
      <c r="C12" s="909"/>
      <c r="D12" s="908"/>
      <c r="E12" s="909"/>
      <c r="F12" s="913">
        <f t="shared" ref="F12:F39" si="0">(D12*20+E12)-(B12*20+C12)</f>
        <v>0</v>
      </c>
      <c r="G12" s="910"/>
      <c r="H12" s="911"/>
      <c r="I12" s="911"/>
      <c r="J12" s="911"/>
      <c r="K12" s="911"/>
      <c r="L12" s="911"/>
      <c r="M12" s="911"/>
      <c r="N12" s="914"/>
      <c r="O12" s="913">
        <f t="shared" ref="O12:O39" si="1">F12*G12*M12</f>
        <v>0</v>
      </c>
      <c r="P12" s="914"/>
      <c r="Q12" s="914"/>
      <c r="R12" s="915"/>
      <c r="S12" s="915"/>
      <c r="T12" s="914"/>
      <c r="U12" s="915"/>
      <c r="V12" s="915"/>
      <c r="W12" s="914"/>
      <c r="X12" s="911"/>
      <c r="Y12" s="911"/>
      <c r="Z12" s="911"/>
      <c r="AA12" s="911"/>
      <c r="AB12" s="911"/>
      <c r="AC12" s="911"/>
      <c r="AD12" s="911"/>
      <c r="AE12" s="911"/>
      <c r="AF12" s="911"/>
      <c r="AG12" s="911"/>
      <c r="AH12" s="911"/>
    </row>
    <row r="13" spans="1:34" s="921" customFormat="1" ht="33" customHeight="1">
      <c r="A13" s="916"/>
      <c r="B13" s="917">
        <f>D13-1</f>
        <v>15</v>
      </c>
      <c r="C13" s="918">
        <v>0</v>
      </c>
      <c r="D13" s="917">
        <v>16</v>
      </c>
      <c r="E13" s="918">
        <v>0</v>
      </c>
      <c r="F13" s="913">
        <f t="shared" si="0"/>
        <v>20</v>
      </c>
      <c r="G13" s="913">
        <v>4</v>
      </c>
      <c r="H13" s="919">
        <f>'MC D'!I9</f>
        <v>4.9800000000000004</v>
      </c>
      <c r="I13" s="919">
        <v>9</v>
      </c>
      <c r="J13" s="919">
        <f>L13+1</f>
        <v>4.5599999999999996</v>
      </c>
      <c r="K13" s="919">
        <v>10</v>
      </c>
      <c r="L13" s="919">
        <f>6-AVERAGE('MC D'!K15:K19)</f>
        <v>3.56</v>
      </c>
      <c r="M13" s="919">
        <v>1.8</v>
      </c>
      <c r="N13" s="913">
        <f>F13*(H13)*L13-O13</f>
        <v>210.58</v>
      </c>
      <c r="O13" s="913">
        <f t="shared" si="1"/>
        <v>144</v>
      </c>
      <c r="P13" s="913">
        <f t="shared" ref="P13:P39" si="2">ROUND((O13+N13)*1.3*9.8,2)</f>
        <v>4517.3500000000004</v>
      </c>
      <c r="Q13" s="913">
        <f>F13*(H13)*0.5</f>
        <v>49.8</v>
      </c>
      <c r="R13" s="920">
        <f t="shared" ref="R13:R39" si="3">ROUND(Q13*1.3*30,2)</f>
        <v>1942.2</v>
      </c>
      <c r="S13" s="920">
        <f t="shared" ref="S13:S39" si="4">ROUND(Q13*1.3*7.4,2)</f>
        <v>479.08</v>
      </c>
      <c r="T13" s="913">
        <f>F13*H13*J13-Q13</f>
        <v>404.38</v>
      </c>
      <c r="U13" s="920">
        <f t="shared" ref="U13:U39" si="5">ROUND(T13*1.3*30,2)</f>
        <v>15770.82</v>
      </c>
      <c r="V13" s="920">
        <f t="shared" ref="V13:V39" si="6">ROUND(T13*1.3*7.4,2)</f>
        <v>3890.14</v>
      </c>
      <c r="W13" s="913">
        <f t="shared" ref="W13:W39" si="7">F13*0.1*6*2</f>
        <v>24</v>
      </c>
      <c r="X13" s="919">
        <v>2.5</v>
      </c>
      <c r="Y13" s="919">
        <f t="shared" ref="Y13:Y20" si="8">SQRT(X13^2+X13^2)</f>
        <v>3.54</v>
      </c>
      <c r="Z13" s="919">
        <f t="shared" ref="Z13" si="9">Y13-(SQRT(0.2^2+((0.2*1.5)^2)))</f>
        <v>3.18</v>
      </c>
      <c r="AA13" s="919">
        <f>0.5*2*F13*5%</f>
        <v>1</v>
      </c>
      <c r="AB13" s="919">
        <f>Z13*F13*2*5%</f>
        <v>6.36</v>
      </c>
      <c r="AC13" s="919">
        <f t="shared" ref="AC13:AC27" si="10">(Z13+(1-0.23+0.5+1))*F13*2</f>
        <v>218</v>
      </c>
      <c r="AD13" s="919">
        <f>(AA13+AB13*0.23)*1.61216282493212</f>
        <v>3.97</v>
      </c>
      <c r="AE13" s="919">
        <f>AA13+AB13*0.23</f>
        <v>2.46</v>
      </c>
      <c r="AF13" s="919">
        <f>AE13*30</f>
        <v>73.8</v>
      </c>
      <c r="AG13" s="919">
        <f>AE13*(187-30)</f>
        <v>386.22</v>
      </c>
      <c r="AH13" s="919">
        <f>F13*(K13*2+Y13)</f>
        <v>470.8</v>
      </c>
    </row>
    <row r="14" spans="1:34" s="921" customFormat="1" ht="33" customHeight="1">
      <c r="A14" s="922"/>
      <c r="B14" s="917">
        <f>D14-1</f>
        <v>14</v>
      </c>
      <c r="C14" s="918">
        <v>0</v>
      </c>
      <c r="D14" s="917">
        <f>B13</f>
        <v>15</v>
      </c>
      <c r="E14" s="918">
        <f>C13</f>
        <v>0</v>
      </c>
      <c r="F14" s="913">
        <f t="shared" si="0"/>
        <v>20</v>
      </c>
      <c r="G14" s="913">
        <f>G13</f>
        <v>4</v>
      </c>
      <c r="H14" s="919">
        <f>H13</f>
        <v>4.9800000000000004</v>
      </c>
      <c r="I14" s="919">
        <f>I13</f>
        <v>9</v>
      </c>
      <c r="J14" s="919">
        <f t="shared" ref="J14:J35" si="11">L14+1</f>
        <v>4.5599999999999996</v>
      </c>
      <c r="K14" s="919">
        <f>K13</f>
        <v>10</v>
      </c>
      <c r="L14" s="919">
        <f>L13</f>
        <v>3.56</v>
      </c>
      <c r="M14" s="919">
        <v>1.8</v>
      </c>
      <c r="N14" s="913">
        <f t="shared" ref="N14:N39" si="12">F14*(H14)*L14-O14</f>
        <v>210.58</v>
      </c>
      <c r="O14" s="913">
        <f t="shared" si="1"/>
        <v>144</v>
      </c>
      <c r="P14" s="913">
        <f t="shared" si="2"/>
        <v>4517.3500000000004</v>
      </c>
      <c r="Q14" s="913">
        <f t="shared" ref="Q14:Q39" si="13">F14*(H14)*0.5</f>
        <v>49.8</v>
      </c>
      <c r="R14" s="920">
        <f t="shared" si="3"/>
        <v>1942.2</v>
      </c>
      <c r="S14" s="920">
        <f t="shared" si="4"/>
        <v>479.08</v>
      </c>
      <c r="T14" s="913">
        <f t="shared" ref="T14:T39" si="14">F14*H14*J14-Q14</f>
        <v>404.38</v>
      </c>
      <c r="U14" s="920">
        <f t="shared" si="5"/>
        <v>15770.82</v>
      </c>
      <c r="V14" s="920">
        <f t="shared" si="6"/>
        <v>3890.14</v>
      </c>
      <c r="W14" s="913">
        <f t="shared" si="7"/>
        <v>24</v>
      </c>
      <c r="X14" s="919">
        <v>2.5</v>
      </c>
      <c r="Y14" s="919">
        <f t="shared" si="8"/>
        <v>3.54</v>
      </c>
      <c r="Z14" s="919">
        <f t="shared" ref="Z14:Z39" si="15">Y14-(SQRT(0.2^2+((0.2*1.5)^2)))</f>
        <v>3.18</v>
      </c>
      <c r="AA14" s="919">
        <f t="shared" ref="AA14:AA39" si="16">0.5*2*F14*5%</f>
        <v>1</v>
      </c>
      <c r="AB14" s="919">
        <f t="shared" ref="AB14:AB39" si="17">Z14*F14*2*5%</f>
        <v>6.36</v>
      </c>
      <c r="AC14" s="919">
        <f t="shared" si="10"/>
        <v>218</v>
      </c>
      <c r="AD14" s="919">
        <f t="shared" ref="AD14:AD39" si="18">(AA14+AB14*0.23)*1.61216282493212</f>
        <v>3.97</v>
      </c>
      <c r="AE14" s="919">
        <f t="shared" ref="AE14:AE39" si="19">AA14+AB14*0.23</f>
        <v>2.46</v>
      </c>
      <c r="AF14" s="919">
        <f t="shared" ref="AF14:AF39" si="20">AE14*30</f>
        <v>73.8</v>
      </c>
      <c r="AG14" s="919">
        <f t="shared" ref="AG14:AG39" si="21">AE14*(187-30)</f>
        <v>386.22</v>
      </c>
      <c r="AH14" s="919">
        <f t="shared" ref="AH14:AH28" si="22">F14*(K14*2+Y14)</f>
        <v>470.8</v>
      </c>
    </row>
    <row r="15" spans="1:34" s="921" customFormat="1" ht="33" customHeight="1">
      <c r="A15" s="922"/>
      <c r="B15" s="917">
        <f>D15-1</f>
        <v>13</v>
      </c>
      <c r="C15" s="918">
        <f>E15</f>
        <v>0</v>
      </c>
      <c r="D15" s="917">
        <f>B14</f>
        <v>14</v>
      </c>
      <c r="E15" s="918">
        <f>C14</f>
        <v>0</v>
      </c>
      <c r="F15" s="913">
        <f t="shared" si="0"/>
        <v>20</v>
      </c>
      <c r="G15" s="913">
        <f t="shared" ref="G15:I30" si="23">G14</f>
        <v>4</v>
      </c>
      <c r="H15" s="919">
        <f t="shared" si="23"/>
        <v>4.9800000000000004</v>
      </c>
      <c r="I15" s="919">
        <f t="shared" si="23"/>
        <v>9</v>
      </c>
      <c r="J15" s="919">
        <f t="shared" si="11"/>
        <v>4.5599999999999996</v>
      </c>
      <c r="K15" s="919">
        <f t="shared" ref="K15:L30" si="24">K14</f>
        <v>10</v>
      </c>
      <c r="L15" s="919">
        <f t="shared" si="24"/>
        <v>3.56</v>
      </c>
      <c r="M15" s="919">
        <v>1.8</v>
      </c>
      <c r="N15" s="913">
        <f t="shared" si="12"/>
        <v>210.58</v>
      </c>
      <c r="O15" s="913">
        <f t="shared" si="1"/>
        <v>144</v>
      </c>
      <c r="P15" s="913">
        <f t="shared" si="2"/>
        <v>4517.3500000000004</v>
      </c>
      <c r="Q15" s="913">
        <f t="shared" si="13"/>
        <v>49.8</v>
      </c>
      <c r="R15" s="920">
        <f t="shared" si="3"/>
        <v>1942.2</v>
      </c>
      <c r="S15" s="920">
        <f t="shared" si="4"/>
        <v>479.08</v>
      </c>
      <c r="T15" s="913">
        <f t="shared" si="14"/>
        <v>404.38</v>
      </c>
      <c r="U15" s="920">
        <f t="shared" si="5"/>
        <v>15770.82</v>
      </c>
      <c r="V15" s="920">
        <f t="shared" si="6"/>
        <v>3890.14</v>
      </c>
      <c r="W15" s="913">
        <f t="shared" si="7"/>
        <v>24</v>
      </c>
      <c r="X15" s="919">
        <v>2.5</v>
      </c>
      <c r="Y15" s="919">
        <f t="shared" si="8"/>
        <v>3.54</v>
      </c>
      <c r="Z15" s="919">
        <f t="shared" si="15"/>
        <v>3.18</v>
      </c>
      <c r="AA15" s="919">
        <f t="shared" si="16"/>
        <v>1</v>
      </c>
      <c r="AB15" s="919">
        <f t="shared" si="17"/>
        <v>6.36</v>
      </c>
      <c r="AC15" s="919">
        <f t="shared" si="10"/>
        <v>218</v>
      </c>
      <c r="AD15" s="919">
        <f t="shared" si="18"/>
        <v>3.97</v>
      </c>
      <c r="AE15" s="919">
        <f t="shared" si="19"/>
        <v>2.46</v>
      </c>
      <c r="AF15" s="919">
        <f t="shared" si="20"/>
        <v>73.8</v>
      </c>
      <c r="AG15" s="919">
        <f t="shared" si="21"/>
        <v>386.22</v>
      </c>
      <c r="AH15" s="919">
        <f t="shared" si="22"/>
        <v>470.8</v>
      </c>
    </row>
    <row r="16" spans="1:34" s="921" customFormat="1" ht="33" customHeight="1">
      <c r="A16" s="922"/>
      <c r="B16" s="917">
        <f t="shared" ref="B16:B27" si="25">D16-1</f>
        <v>12</v>
      </c>
      <c r="C16" s="918">
        <f t="shared" ref="C16:C39" si="26">E16</f>
        <v>0</v>
      </c>
      <c r="D16" s="917">
        <f t="shared" ref="D16:E31" si="27">B15</f>
        <v>13</v>
      </c>
      <c r="E16" s="918">
        <f t="shared" si="27"/>
        <v>0</v>
      </c>
      <c r="F16" s="913">
        <f t="shared" si="0"/>
        <v>20</v>
      </c>
      <c r="G16" s="913">
        <f t="shared" si="23"/>
        <v>4</v>
      </c>
      <c r="H16" s="919">
        <f t="shared" si="23"/>
        <v>4.9800000000000004</v>
      </c>
      <c r="I16" s="919">
        <f t="shared" si="23"/>
        <v>9</v>
      </c>
      <c r="J16" s="919">
        <f t="shared" si="11"/>
        <v>4.5599999999999996</v>
      </c>
      <c r="K16" s="919">
        <f t="shared" si="24"/>
        <v>10</v>
      </c>
      <c r="L16" s="919">
        <f t="shared" si="24"/>
        <v>3.56</v>
      </c>
      <c r="M16" s="919">
        <v>1.8</v>
      </c>
      <c r="N16" s="913">
        <f t="shared" si="12"/>
        <v>210.58</v>
      </c>
      <c r="O16" s="913">
        <f t="shared" si="1"/>
        <v>144</v>
      </c>
      <c r="P16" s="913">
        <f t="shared" si="2"/>
        <v>4517.3500000000004</v>
      </c>
      <c r="Q16" s="913">
        <f t="shared" si="13"/>
        <v>49.8</v>
      </c>
      <c r="R16" s="920">
        <f t="shared" si="3"/>
        <v>1942.2</v>
      </c>
      <c r="S16" s="920">
        <f t="shared" si="4"/>
        <v>479.08</v>
      </c>
      <c r="T16" s="913">
        <f t="shared" si="14"/>
        <v>404.38</v>
      </c>
      <c r="U16" s="920">
        <f t="shared" si="5"/>
        <v>15770.82</v>
      </c>
      <c r="V16" s="920">
        <f t="shared" si="6"/>
        <v>3890.14</v>
      </c>
      <c r="W16" s="913">
        <f t="shared" si="7"/>
        <v>24</v>
      </c>
      <c r="X16" s="919">
        <v>2.5</v>
      </c>
      <c r="Y16" s="919">
        <f t="shared" si="8"/>
        <v>3.54</v>
      </c>
      <c r="Z16" s="919">
        <f t="shared" si="15"/>
        <v>3.18</v>
      </c>
      <c r="AA16" s="919">
        <f t="shared" si="16"/>
        <v>1</v>
      </c>
      <c r="AB16" s="919">
        <f t="shared" si="17"/>
        <v>6.36</v>
      </c>
      <c r="AC16" s="919">
        <f t="shared" si="10"/>
        <v>218</v>
      </c>
      <c r="AD16" s="919">
        <f t="shared" si="18"/>
        <v>3.97</v>
      </c>
      <c r="AE16" s="919">
        <f t="shared" si="19"/>
        <v>2.46</v>
      </c>
      <c r="AF16" s="919">
        <f t="shared" si="20"/>
        <v>73.8</v>
      </c>
      <c r="AG16" s="919">
        <f t="shared" si="21"/>
        <v>386.22</v>
      </c>
      <c r="AH16" s="919">
        <f t="shared" si="22"/>
        <v>470.8</v>
      </c>
    </row>
    <row r="17" spans="1:34" s="921" customFormat="1" ht="33" customHeight="1">
      <c r="A17" s="922"/>
      <c r="B17" s="917">
        <f t="shared" si="25"/>
        <v>11</v>
      </c>
      <c r="C17" s="918">
        <f t="shared" si="26"/>
        <v>0</v>
      </c>
      <c r="D17" s="917">
        <f t="shared" si="27"/>
        <v>12</v>
      </c>
      <c r="E17" s="918">
        <f t="shared" si="27"/>
        <v>0</v>
      </c>
      <c r="F17" s="913">
        <f t="shared" si="0"/>
        <v>20</v>
      </c>
      <c r="G17" s="913">
        <f t="shared" si="23"/>
        <v>4</v>
      </c>
      <c r="H17" s="919">
        <f t="shared" si="23"/>
        <v>4.9800000000000004</v>
      </c>
      <c r="I17" s="919">
        <f t="shared" si="23"/>
        <v>9</v>
      </c>
      <c r="J17" s="919">
        <f t="shared" si="11"/>
        <v>4.5599999999999996</v>
      </c>
      <c r="K17" s="919">
        <f t="shared" si="24"/>
        <v>10</v>
      </c>
      <c r="L17" s="919">
        <f t="shared" si="24"/>
        <v>3.56</v>
      </c>
      <c r="M17" s="919">
        <v>1.8</v>
      </c>
      <c r="N17" s="913">
        <f t="shared" si="12"/>
        <v>210.58</v>
      </c>
      <c r="O17" s="913">
        <f t="shared" si="1"/>
        <v>144</v>
      </c>
      <c r="P17" s="913">
        <f t="shared" si="2"/>
        <v>4517.3500000000004</v>
      </c>
      <c r="Q17" s="913">
        <f t="shared" si="13"/>
        <v>49.8</v>
      </c>
      <c r="R17" s="920">
        <f t="shared" si="3"/>
        <v>1942.2</v>
      </c>
      <c r="S17" s="920">
        <f t="shared" si="4"/>
        <v>479.08</v>
      </c>
      <c r="T17" s="913">
        <f t="shared" si="14"/>
        <v>404.38</v>
      </c>
      <c r="U17" s="920">
        <f t="shared" si="5"/>
        <v>15770.82</v>
      </c>
      <c r="V17" s="920">
        <f t="shared" si="6"/>
        <v>3890.14</v>
      </c>
      <c r="W17" s="913">
        <f t="shared" si="7"/>
        <v>24</v>
      </c>
      <c r="X17" s="919">
        <v>2.5</v>
      </c>
      <c r="Y17" s="919">
        <f t="shared" si="8"/>
        <v>3.54</v>
      </c>
      <c r="Z17" s="919">
        <f t="shared" si="15"/>
        <v>3.18</v>
      </c>
      <c r="AA17" s="919">
        <f t="shared" si="16"/>
        <v>1</v>
      </c>
      <c r="AB17" s="919">
        <f t="shared" si="17"/>
        <v>6.36</v>
      </c>
      <c r="AC17" s="919">
        <f t="shared" si="10"/>
        <v>218</v>
      </c>
      <c r="AD17" s="919">
        <f t="shared" si="18"/>
        <v>3.97</v>
      </c>
      <c r="AE17" s="919">
        <f t="shared" si="19"/>
        <v>2.46</v>
      </c>
      <c r="AF17" s="919">
        <f t="shared" si="20"/>
        <v>73.8</v>
      </c>
      <c r="AG17" s="919">
        <f t="shared" si="21"/>
        <v>386.22</v>
      </c>
      <c r="AH17" s="919">
        <f t="shared" si="22"/>
        <v>470.8</v>
      </c>
    </row>
    <row r="18" spans="1:34" s="921" customFormat="1" ht="33" customHeight="1">
      <c r="A18" s="922"/>
      <c r="B18" s="917">
        <f t="shared" si="25"/>
        <v>10</v>
      </c>
      <c r="C18" s="918">
        <f t="shared" si="26"/>
        <v>0</v>
      </c>
      <c r="D18" s="917">
        <f t="shared" si="27"/>
        <v>11</v>
      </c>
      <c r="E18" s="918">
        <f t="shared" si="27"/>
        <v>0</v>
      </c>
      <c r="F18" s="913">
        <f t="shared" si="0"/>
        <v>20</v>
      </c>
      <c r="G18" s="913">
        <f t="shared" si="23"/>
        <v>4</v>
      </c>
      <c r="H18" s="919">
        <f t="shared" si="23"/>
        <v>4.9800000000000004</v>
      </c>
      <c r="I18" s="919">
        <f t="shared" si="23"/>
        <v>9</v>
      </c>
      <c r="J18" s="919">
        <f t="shared" si="11"/>
        <v>4.5599999999999996</v>
      </c>
      <c r="K18" s="919">
        <f t="shared" si="24"/>
        <v>10</v>
      </c>
      <c r="L18" s="919">
        <f t="shared" si="24"/>
        <v>3.56</v>
      </c>
      <c r="M18" s="919">
        <v>1.8</v>
      </c>
      <c r="N18" s="913">
        <f t="shared" si="12"/>
        <v>210.58</v>
      </c>
      <c r="O18" s="913">
        <f t="shared" si="1"/>
        <v>144</v>
      </c>
      <c r="P18" s="913">
        <f t="shared" si="2"/>
        <v>4517.3500000000004</v>
      </c>
      <c r="Q18" s="913">
        <f t="shared" si="13"/>
        <v>49.8</v>
      </c>
      <c r="R18" s="920">
        <f t="shared" si="3"/>
        <v>1942.2</v>
      </c>
      <c r="S18" s="920">
        <f t="shared" si="4"/>
        <v>479.08</v>
      </c>
      <c r="T18" s="913">
        <f t="shared" si="14"/>
        <v>404.38</v>
      </c>
      <c r="U18" s="920">
        <f t="shared" si="5"/>
        <v>15770.82</v>
      </c>
      <c r="V18" s="920">
        <f t="shared" si="6"/>
        <v>3890.14</v>
      </c>
      <c r="W18" s="913">
        <f t="shared" si="7"/>
        <v>24</v>
      </c>
      <c r="X18" s="919">
        <v>2.5</v>
      </c>
      <c r="Y18" s="919">
        <f t="shared" si="8"/>
        <v>3.54</v>
      </c>
      <c r="Z18" s="919">
        <f t="shared" si="15"/>
        <v>3.18</v>
      </c>
      <c r="AA18" s="919">
        <f t="shared" si="16"/>
        <v>1</v>
      </c>
      <c r="AB18" s="919">
        <f t="shared" si="17"/>
        <v>6.36</v>
      </c>
      <c r="AC18" s="919">
        <f t="shared" si="10"/>
        <v>218</v>
      </c>
      <c r="AD18" s="919">
        <f t="shared" si="18"/>
        <v>3.97</v>
      </c>
      <c r="AE18" s="919">
        <f t="shared" si="19"/>
        <v>2.46</v>
      </c>
      <c r="AF18" s="919">
        <f t="shared" si="20"/>
        <v>73.8</v>
      </c>
      <c r="AG18" s="919">
        <f t="shared" si="21"/>
        <v>386.22</v>
      </c>
      <c r="AH18" s="919">
        <f t="shared" si="22"/>
        <v>470.8</v>
      </c>
    </row>
    <row r="19" spans="1:34" s="921" customFormat="1" ht="33" customHeight="1">
      <c r="A19" s="922"/>
      <c r="B19" s="917">
        <f t="shared" si="25"/>
        <v>9</v>
      </c>
      <c r="C19" s="918">
        <f t="shared" si="26"/>
        <v>0</v>
      </c>
      <c r="D19" s="917">
        <f t="shared" si="27"/>
        <v>10</v>
      </c>
      <c r="E19" s="918">
        <f t="shared" si="27"/>
        <v>0</v>
      </c>
      <c r="F19" s="913">
        <f t="shared" si="0"/>
        <v>20</v>
      </c>
      <c r="G19" s="913">
        <f t="shared" si="23"/>
        <v>4</v>
      </c>
      <c r="H19" s="919">
        <f t="shared" si="23"/>
        <v>4.9800000000000004</v>
      </c>
      <c r="I19" s="919">
        <f t="shared" si="23"/>
        <v>9</v>
      </c>
      <c r="J19" s="919">
        <f t="shared" si="11"/>
        <v>4.5599999999999996</v>
      </c>
      <c r="K19" s="919">
        <f t="shared" si="24"/>
        <v>10</v>
      </c>
      <c r="L19" s="919">
        <f t="shared" si="24"/>
        <v>3.56</v>
      </c>
      <c r="M19" s="919">
        <v>1.8</v>
      </c>
      <c r="N19" s="913">
        <f t="shared" si="12"/>
        <v>210.58</v>
      </c>
      <c r="O19" s="913">
        <f t="shared" si="1"/>
        <v>144</v>
      </c>
      <c r="P19" s="913">
        <f t="shared" si="2"/>
        <v>4517.3500000000004</v>
      </c>
      <c r="Q19" s="913">
        <f t="shared" si="13"/>
        <v>49.8</v>
      </c>
      <c r="R19" s="920">
        <f t="shared" si="3"/>
        <v>1942.2</v>
      </c>
      <c r="S19" s="920">
        <f t="shared" si="4"/>
        <v>479.08</v>
      </c>
      <c r="T19" s="913">
        <f t="shared" si="14"/>
        <v>404.38</v>
      </c>
      <c r="U19" s="920">
        <f t="shared" si="5"/>
        <v>15770.82</v>
      </c>
      <c r="V19" s="920">
        <f t="shared" si="6"/>
        <v>3890.14</v>
      </c>
      <c r="W19" s="913">
        <f t="shared" si="7"/>
        <v>24</v>
      </c>
      <c r="X19" s="919">
        <v>2.5</v>
      </c>
      <c r="Y19" s="919">
        <f t="shared" si="8"/>
        <v>3.54</v>
      </c>
      <c r="Z19" s="919">
        <f t="shared" si="15"/>
        <v>3.18</v>
      </c>
      <c r="AA19" s="919">
        <f t="shared" si="16"/>
        <v>1</v>
      </c>
      <c r="AB19" s="919">
        <f t="shared" si="17"/>
        <v>6.36</v>
      </c>
      <c r="AC19" s="919">
        <f t="shared" si="10"/>
        <v>218</v>
      </c>
      <c r="AD19" s="919">
        <f t="shared" si="18"/>
        <v>3.97</v>
      </c>
      <c r="AE19" s="919">
        <f t="shared" si="19"/>
        <v>2.46</v>
      </c>
      <c r="AF19" s="919">
        <f t="shared" si="20"/>
        <v>73.8</v>
      </c>
      <c r="AG19" s="919">
        <f t="shared" si="21"/>
        <v>386.22</v>
      </c>
      <c r="AH19" s="919">
        <f t="shared" si="22"/>
        <v>470.8</v>
      </c>
    </row>
    <row r="20" spans="1:34" s="921" customFormat="1" ht="33" customHeight="1">
      <c r="A20" s="922"/>
      <c r="B20" s="917">
        <f t="shared" si="25"/>
        <v>8</v>
      </c>
      <c r="C20" s="918">
        <f t="shared" si="26"/>
        <v>0</v>
      </c>
      <c r="D20" s="917">
        <f t="shared" si="27"/>
        <v>9</v>
      </c>
      <c r="E20" s="918">
        <f t="shared" si="27"/>
        <v>0</v>
      </c>
      <c r="F20" s="913">
        <f t="shared" si="0"/>
        <v>20</v>
      </c>
      <c r="G20" s="913">
        <f t="shared" si="23"/>
        <v>4</v>
      </c>
      <c r="H20" s="919">
        <f t="shared" si="23"/>
        <v>4.9800000000000004</v>
      </c>
      <c r="I20" s="919">
        <f t="shared" si="23"/>
        <v>9</v>
      </c>
      <c r="J20" s="919">
        <f t="shared" si="11"/>
        <v>4.5599999999999996</v>
      </c>
      <c r="K20" s="919">
        <f t="shared" si="24"/>
        <v>10</v>
      </c>
      <c r="L20" s="919">
        <f t="shared" si="24"/>
        <v>3.56</v>
      </c>
      <c r="M20" s="919">
        <v>1.8</v>
      </c>
      <c r="N20" s="913">
        <f t="shared" si="12"/>
        <v>210.58</v>
      </c>
      <c r="O20" s="913">
        <f t="shared" si="1"/>
        <v>144</v>
      </c>
      <c r="P20" s="913">
        <f t="shared" si="2"/>
        <v>4517.3500000000004</v>
      </c>
      <c r="Q20" s="913">
        <f t="shared" si="13"/>
        <v>49.8</v>
      </c>
      <c r="R20" s="920">
        <f t="shared" si="3"/>
        <v>1942.2</v>
      </c>
      <c r="S20" s="920">
        <f t="shared" si="4"/>
        <v>479.08</v>
      </c>
      <c r="T20" s="913">
        <f t="shared" si="14"/>
        <v>404.38</v>
      </c>
      <c r="U20" s="920">
        <f t="shared" si="5"/>
        <v>15770.82</v>
      </c>
      <c r="V20" s="920">
        <f t="shared" si="6"/>
        <v>3890.14</v>
      </c>
      <c r="W20" s="913">
        <f t="shared" si="7"/>
        <v>24</v>
      </c>
      <c r="X20" s="919">
        <v>2.5</v>
      </c>
      <c r="Y20" s="919">
        <f t="shared" si="8"/>
        <v>3.54</v>
      </c>
      <c r="Z20" s="919">
        <f t="shared" si="15"/>
        <v>3.18</v>
      </c>
      <c r="AA20" s="919">
        <f t="shared" si="16"/>
        <v>1</v>
      </c>
      <c r="AB20" s="919">
        <f t="shared" si="17"/>
        <v>6.36</v>
      </c>
      <c r="AC20" s="919">
        <f t="shared" si="10"/>
        <v>218</v>
      </c>
      <c r="AD20" s="919">
        <f t="shared" si="18"/>
        <v>3.97</v>
      </c>
      <c r="AE20" s="919">
        <f t="shared" si="19"/>
        <v>2.46</v>
      </c>
      <c r="AF20" s="919">
        <f t="shared" si="20"/>
        <v>73.8</v>
      </c>
      <c r="AG20" s="919">
        <f t="shared" si="21"/>
        <v>386.22</v>
      </c>
      <c r="AH20" s="919">
        <f t="shared" si="22"/>
        <v>470.8</v>
      </c>
    </row>
    <row r="21" spans="1:34" s="921" customFormat="1" ht="33" customHeight="1">
      <c r="A21" s="922"/>
      <c r="B21" s="917">
        <f t="shared" si="25"/>
        <v>7</v>
      </c>
      <c r="C21" s="918">
        <f t="shared" si="26"/>
        <v>0</v>
      </c>
      <c r="D21" s="917">
        <f t="shared" si="27"/>
        <v>8</v>
      </c>
      <c r="E21" s="918">
        <f t="shared" si="27"/>
        <v>0</v>
      </c>
      <c r="F21" s="913">
        <f t="shared" si="0"/>
        <v>20</v>
      </c>
      <c r="G21" s="913">
        <f t="shared" si="23"/>
        <v>4</v>
      </c>
      <c r="H21" s="919">
        <f t="shared" si="23"/>
        <v>4.9800000000000004</v>
      </c>
      <c r="I21" s="919">
        <f t="shared" si="23"/>
        <v>9</v>
      </c>
      <c r="J21" s="919">
        <f t="shared" si="11"/>
        <v>4.5599999999999996</v>
      </c>
      <c r="K21" s="919">
        <f t="shared" si="24"/>
        <v>10</v>
      </c>
      <c r="L21" s="919">
        <f t="shared" si="24"/>
        <v>3.56</v>
      </c>
      <c r="M21" s="919">
        <v>1.8</v>
      </c>
      <c r="N21" s="913">
        <f t="shared" si="12"/>
        <v>210.58</v>
      </c>
      <c r="O21" s="913">
        <f t="shared" si="1"/>
        <v>144</v>
      </c>
      <c r="P21" s="913">
        <f t="shared" si="2"/>
        <v>4517.3500000000004</v>
      </c>
      <c r="Q21" s="913">
        <f t="shared" si="13"/>
        <v>49.8</v>
      </c>
      <c r="R21" s="920">
        <f t="shared" si="3"/>
        <v>1942.2</v>
      </c>
      <c r="S21" s="920">
        <f t="shared" si="4"/>
        <v>479.08</v>
      </c>
      <c r="T21" s="913">
        <f t="shared" si="14"/>
        <v>404.38</v>
      </c>
      <c r="U21" s="920">
        <f t="shared" si="5"/>
        <v>15770.82</v>
      </c>
      <c r="V21" s="920">
        <f t="shared" si="6"/>
        <v>3890.14</v>
      </c>
      <c r="W21" s="913">
        <f t="shared" si="7"/>
        <v>24</v>
      </c>
      <c r="X21" s="919">
        <v>2.5</v>
      </c>
      <c r="Y21" s="919">
        <f t="shared" ref="Y21:Y35" si="28">SQRT(X21^2+X21^2)</f>
        <v>3.54</v>
      </c>
      <c r="Z21" s="919">
        <f t="shared" si="15"/>
        <v>3.18</v>
      </c>
      <c r="AA21" s="919">
        <f t="shared" si="16"/>
        <v>1</v>
      </c>
      <c r="AB21" s="919">
        <f t="shared" si="17"/>
        <v>6.36</v>
      </c>
      <c r="AC21" s="919">
        <f t="shared" si="10"/>
        <v>218</v>
      </c>
      <c r="AD21" s="919">
        <f t="shared" si="18"/>
        <v>3.97</v>
      </c>
      <c r="AE21" s="919">
        <f t="shared" si="19"/>
        <v>2.46</v>
      </c>
      <c r="AF21" s="919">
        <f t="shared" si="20"/>
        <v>73.8</v>
      </c>
      <c r="AG21" s="919">
        <f t="shared" si="21"/>
        <v>386.22</v>
      </c>
      <c r="AH21" s="919">
        <f t="shared" si="22"/>
        <v>470.8</v>
      </c>
    </row>
    <row r="22" spans="1:34" s="921" customFormat="1" ht="33" customHeight="1">
      <c r="A22" s="922"/>
      <c r="B22" s="917">
        <f t="shared" si="25"/>
        <v>6</v>
      </c>
      <c r="C22" s="918">
        <f t="shared" si="26"/>
        <v>0</v>
      </c>
      <c r="D22" s="917">
        <f t="shared" si="27"/>
        <v>7</v>
      </c>
      <c r="E22" s="918">
        <f t="shared" si="27"/>
        <v>0</v>
      </c>
      <c r="F22" s="913">
        <f t="shared" si="0"/>
        <v>20</v>
      </c>
      <c r="G22" s="913">
        <f t="shared" si="23"/>
        <v>4</v>
      </c>
      <c r="H22" s="919">
        <f t="shared" si="23"/>
        <v>4.9800000000000004</v>
      </c>
      <c r="I22" s="919">
        <f t="shared" si="23"/>
        <v>9</v>
      </c>
      <c r="J22" s="919">
        <f t="shared" si="11"/>
        <v>4.5599999999999996</v>
      </c>
      <c r="K22" s="919">
        <f t="shared" si="24"/>
        <v>10</v>
      </c>
      <c r="L22" s="919">
        <f t="shared" si="24"/>
        <v>3.56</v>
      </c>
      <c r="M22" s="919">
        <v>1.8</v>
      </c>
      <c r="N22" s="913">
        <f t="shared" si="12"/>
        <v>210.58</v>
      </c>
      <c r="O22" s="913">
        <f t="shared" si="1"/>
        <v>144</v>
      </c>
      <c r="P22" s="913">
        <f t="shared" si="2"/>
        <v>4517.3500000000004</v>
      </c>
      <c r="Q22" s="913">
        <f t="shared" si="13"/>
        <v>49.8</v>
      </c>
      <c r="R22" s="920">
        <f t="shared" si="3"/>
        <v>1942.2</v>
      </c>
      <c r="S22" s="920">
        <f t="shared" si="4"/>
        <v>479.08</v>
      </c>
      <c r="T22" s="913">
        <f t="shared" si="14"/>
        <v>404.38</v>
      </c>
      <c r="U22" s="920">
        <f t="shared" si="5"/>
        <v>15770.82</v>
      </c>
      <c r="V22" s="920">
        <f t="shared" si="6"/>
        <v>3890.14</v>
      </c>
      <c r="W22" s="913">
        <f t="shared" si="7"/>
        <v>24</v>
      </c>
      <c r="X22" s="919">
        <v>2.5</v>
      </c>
      <c r="Y22" s="919">
        <f t="shared" si="28"/>
        <v>3.54</v>
      </c>
      <c r="Z22" s="919">
        <f t="shared" si="15"/>
        <v>3.18</v>
      </c>
      <c r="AA22" s="919">
        <f t="shared" si="16"/>
        <v>1</v>
      </c>
      <c r="AB22" s="919">
        <f t="shared" si="17"/>
        <v>6.36</v>
      </c>
      <c r="AC22" s="919">
        <f t="shared" si="10"/>
        <v>218</v>
      </c>
      <c r="AD22" s="919">
        <f t="shared" si="18"/>
        <v>3.97</v>
      </c>
      <c r="AE22" s="919">
        <f t="shared" si="19"/>
        <v>2.46</v>
      </c>
      <c r="AF22" s="919">
        <f t="shared" si="20"/>
        <v>73.8</v>
      </c>
      <c r="AG22" s="919">
        <f t="shared" si="21"/>
        <v>386.22</v>
      </c>
      <c r="AH22" s="919">
        <f>F22*(K22*2+Y22)</f>
        <v>470.8</v>
      </c>
    </row>
    <row r="23" spans="1:34" s="921" customFormat="1" ht="33" customHeight="1">
      <c r="A23" s="922"/>
      <c r="B23" s="917">
        <f t="shared" si="25"/>
        <v>5</v>
      </c>
      <c r="C23" s="918">
        <f t="shared" si="26"/>
        <v>0</v>
      </c>
      <c r="D23" s="917">
        <f t="shared" si="27"/>
        <v>6</v>
      </c>
      <c r="E23" s="918">
        <f t="shared" si="27"/>
        <v>0</v>
      </c>
      <c r="F23" s="913">
        <f t="shared" si="0"/>
        <v>20</v>
      </c>
      <c r="G23" s="913">
        <f t="shared" si="23"/>
        <v>4</v>
      </c>
      <c r="H23" s="919">
        <f t="shared" si="23"/>
        <v>4.9800000000000004</v>
      </c>
      <c r="I23" s="919">
        <f t="shared" si="23"/>
        <v>9</v>
      </c>
      <c r="J23" s="919">
        <f t="shared" si="11"/>
        <v>4.5599999999999996</v>
      </c>
      <c r="K23" s="919">
        <f t="shared" si="24"/>
        <v>10</v>
      </c>
      <c r="L23" s="919">
        <f t="shared" si="24"/>
        <v>3.56</v>
      </c>
      <c r="M23" s="919">
        <v>1.8</v>
      </c>
      <c r="N23" s="913">
        <f t="shared" si="12"/>
        <v>210.58</v>
      </c>
      <c r="O23" s="913">
        <f t="shared" si="1"/>
        <v>144</v>
      </c>
      <c r="P23" s="913">
        <f t="shared" si="2"/>
        <v>4517.3500000000004</v>
      </c>
      <c r="Q23" s="913">
        <f t="shared" si="13"/>
        <v>49.8</v>
      </c>
      <c r="R23" s="920">
        <f t="shared" si="3"/>
        <v>1942.2</v>
      </c>
      <c r="S23" s="920">
        <f t="shared" si="4"/>
        <v>479.08</v>
      </c>
      <c r="T23" s="913">
        <f t="shared" si="14"/>
        <v>404.38</v>
      </c>
      <c r="U23" s="920">
        <f t="shared" si="5"/>
        <v>15770.82</v>
      </c>
      <c r="V23" s="920">
        <f t="shared" si="6"/>
        <v>3890.14</v>
      </c>
      <c r="W23" s="913">
        <f t="shared" si="7"/>
        <v>24</v>
      </c>
      <c r="X23" s="919">
        <v>2.5</v>
      </c>
      <c r="Y23" s="919">
        <f t="shared" si="28"/>
        <v>3.54</v>
      </c>
      <c r="Z23" s="919">
        <f t="shared" si="15"/>
        <v>3.18</v>
      </c>
      <c r="AA23" s="919">
        <f t="shared" si="16"/>
        <v>1</v>
      </c>
      <c r="AB23" s="919">
        <f t="shared" si="17"/>
        <v>6.36</v>
      </c>
      <c r="AC23" s="919">
        <f t="shared" si="10"/>
        <v>218</v>
      </c>
      <c r="AD23" s="919">
        <f t="shared" si="18"/>
        <v>3.97</v>
      </c>
      <c r="AE23" s="919">
        <f t="shared" si="19"/>
        <v>2.46</v>
      </c>
      <c r="AF23" s="919">
        <f t="shared" si="20"/>
        <v>73.8</v>
      </c>
      <c r="AG23" s="919">
        <f t="shared" si="21"/>
        <v>386.22</v>
      </c>
      <c r="AH23" s="919">
        <f t="shared" si="22"/>
        <v>470.8</v>
      </c>
    </row>
    <row r="24" spans="1:34" s="921" customFormat="1" ht="33" customHeight="1">
      <c r="A24" s="916"/>
      <c r="B24" s="917">
        <f t="shared" si="25"/>
        <v>4</v>
      </c>
      <c r="C24" s="918">
        <f t="shared" si="26"/>
        <v>0</v>
      </c>
      <c r="D24" s="917">
        <f t="shared" si="27"/>
        <v>5</v>
      </c>
      <c r="E24" s="918">
        <f t="shared" si="27"/>
        <v>0</v>
      </c>
      <c r="F24" s="913">
        <f t="shared" si="0"/>
        <v>20</v>
      </c>
      <c r="G24" s="913">
        <f t="shared" si="23"/>
        <v>4</v>
      </c>
      <c r="H24" s="919">
        <f t="shared" si="23"/>
        <v>4.9800000000000004</v>
      </c>
      <c r="I24" s="919">
        <f t="shared" si="23"/>
        <v>9</v>
      </c>
      <c r="J24" s="919">
        <f t="shared" si="11"/>
        <v>4.5599999999999996</v>
      </c>
      <c r="K24" s="919">
        <f t="shared" si="24"/>
        <v>10</v>
      </c>
      <c r="L24" s="919">
        <f t="shared" si="24"/>
        <v>3.56</v>
      </c>
      <c r="M24" s="919">
        <v>1.8</v>
      </c>
      <c r="N24" s="913">
        <f t="shared" si="12"/>
        <v>210.58</v>
      </c>
      <c r="O24" s="913">
        <f t="shared" si="1"/>
        <v>144</v>
      </c>
      <c r="P24" s="913">
        <f t="shared" si="2"/>
        <v>4517.3500000000004</v>
      </c>
      <c r="Q24" s="913">
        <f t="shared" si="13"/>
        <v>49.8</v>
      </c>
      <c r="R24" s="920">
        <f t="shared" si="3"/>
        <v>1942.2</v>
      </c>
      <c r="S24" s="920">
        <f t="shared" si="4"/>
        <v>479.08</v>
      </c>
      <c r="T24" s="913">
        <f t="shared" si="14"/>
        <v>404.38</v>
      </c>
      <c r="U24" s="920">
        <f t="shared" si="5"/>
        <v>15770.82</v>
      </c>
      <c r="V24" s="920">
        <f t="shared" si="6"/>
        <v>3890.14</v>
      </c>
      <c r="W24" s="913">
        <f t="shared" si="7"/>
        <v>24</v>
      </c>
      <c r="X24" s="919">
        <v>2.5</v>
      </c>
      <c r="Y24" s="919">
        <f t="shared" si="28"/>
        <v>3.54</v>
      </c>
      <c r="Z24" s="919">
        <f t="shared" si="15"/>
        <v>3.18</v>
      </c>
      <c r="AA24" s="919">
        <f t="shared" si="16"/>
        <v>1</v>
      </c>
      <c r="AB24" s="919">
        <f t="shared" si="17"/>
        <v>6.36</v>
      </c>
      <c r="AC24" s="919">
        <f t="shared" si="10"/>
        <v>218</v>
      </c>
      <c r="AD24" s="919">
        <f t="shared" si="18"/>
        <v>3.97</v>
      </c>
      <c r="AE24" s="919">
        <f t="shared" si="19"/>
        <v>2.46</v>
      </c>
      <c r="AF24" s="919">
        <f t="shared" si="20"/>
        <v>73.8</v>
      </c>
      <c r="AG24" s="919">
        <f t="shared" si="21"/>
        <v>386.22</v>
      </c>
      <c r="AH24" s="919">
        <f t="shared" si="22"/>
        <v>470.8</v>
      </c>
    </row>
    <row r="25" spans="1:34" s="921" customFormat="1" ht="33" customHeight="1">
      <c r="A25" s="922"/>
      <c r="B25" s="917">
        <f t="shared" si="25"/>
        <v>3</v>
      </c>
      <c r="C25" s="918">
        <f t="shared" si="26"/>
        <v>0</v>
      </c>
      <c r="D25" s="917">
        <f t="shared" si="27"/>
        <v>4</v>
      </c>
      <c r="E25" s="918">
        <f t="shared" si="27"/>
        <v>0</v>
      </c>
      <c r="F25" s="913">
        <f t="shared" si="0"/>
        <v>20</v>
      </c>
      <c r="G25" s="913">
        <f t="shared" si="23"/>
        <v>4</v>
      </c>
      <c r="H25" s="919">
        <f t="shared" si="23"/>
        <v>4.9800000000000004</v>
      </c>
      <c r="I25" s="919">
        <f t="shared" si="23"/>
        <v>9</v>
      </c>
      <c r="J25" s="919">
        <f t="shared" si="11"/>
        <v>4.5599999999999996</v>
      </c>
      <c r="K25" s="919">
        <f t="shared" si="24"/>
        <v>10</v>
      </c>
      <c r="L25" s="919">
        <f t="shared" si="24"/>
        <v>3.56</v>
      </c>
      <c r="M25" s="919">
        <v>1.8</v>
      </c>
      <c r="N25" s="913">
        <f t="shared" si="12"/>
        <v>210.58</v>
      </c>
      <c r="O25" s="913">
        <f t="shared" si="1"/>
        <v>144</v>
      </c>
      <c r="P25" s="913">
        <f t="shared" si="2"/>
        <v>4517.3500000000004</v>
      </c>
      <c r="Q25" s="913">
        <f t="shared" si="13"/>
        <v>49.8</v>
      </c>
      <c r="R25" s="920">
        <f t="shared" si="3"/>
        <v>1942.2</v>
      </c>
      <c r="S25" s="920">
        <f t="shared" si="4"/>
        <v>479.08</v>
      </c>
      <c r="T25" s="913">
        <f t="shared" si="14"/>
        <v>404.38</v>
      </c>
      <c r="U25" s="920">
        <f t="shared" si="5"/>
        <v>15770.82</v>
      </c>
      <c r="V25" s="920">
        <f t="shared" si="6"/>
        <v>3890.14</v>
      </c>
      <c r="W25" s="913">
        <f t="shared" si="7"/>
        <v>24</v>
      </c>
      <c r="X25" s="919">
        <v>2.5</v>
      </c>
      <c r="Y25" s="919">
        <f t="shared" si="28"/>
        <v>3.54</v>
      </c>
      <c r="Z25" s="919">
        <f t="shared" si="15"/>
        <v>3.18</v>
      </c>
      <c r="AA25" s="919">
        <f t="shared" si="16"/>
        <v>1</v>
      </c>
      <c r="AB25" s="919">
        <f t="shared" si="17"/>
        <v>6.36</v>
      </c>
      <c r="AC25" s="919">
        <f t="shared" si="10"/>
        <v>218</v>
      </c>
      <c r="AD25" s="919">
        <f t="shared" si="18"/>
        <v>3.97</v>
      </c>
      <c r="AE25" s="919">
        <f t="shared" si="19"/>
        <v>2.46</v>
      </c>
      <c r="AF25" s="919">
        <f t="shared" si="20"/>
        <v>73.8</v>
      </c>
      <c r="AG25" s="919">
        <f t="shared" si="21"/>
        <v>386.22</v>
      </c>
      <c r="AH25" s="919">
        <f t="shared" si="22"/>
        <v>470.8</v>
      </c>
    </row>
    <row r="26" spans="1:34" s="921" customFormat="1" ht="33" customHeight="1">
      <c r="A26" s="922"/>
      <c r="B26" s="917">
        <f t="shared" si="25"/>
        <v>2</v>
      </c>
      <c r="C26" s="918">
        <f t="shared" si="26"/>
        <v>0</v>
      </c>
      <c r="D26" s="917">
        <f t="shared" si="27"/>
        <v>3</v>
      </c>
      <c r="E26" s="918">
        <f t="shared" si="27"/>
        <v>0</v>
      </c>
      <c r="F26" s="913">
        <f t="shared" si="0"/>
        <v>20</v>
      </c>
      <c r="G26" s="913">
        <f t="shared" si="23"/>
        <v>4</v>
      </c>
      <c r="H26" s="919">
        <f t="shared" si="23"/>
        <v>4.9800000000000004</v>
      </c>
      <c r="I26" s="919">
        <f t="shared" si="23"/>
        <v>9</v>
      </c>
      <c r="J26" s="919">
        <f t="shared" si="11"/>
        <v>4.5599999999999996</v>
      </c>
      <c r="K26" s="919">
        <f t="shared" si="24"/>
        <v>10</v>
      </c>
      <c r="L26" s="919">
        <f t="shared" si="24"/>
        <v>3.56</v>
      </c>
      <c r="M26" s="919">
        <v>1.8</v>
      </c>
      <c r="N26" s="913">
        <f t="shared" si="12"/>
        <v>210.58</v>
      </c>
      <c r="O26" s="913">
        <f t="shared" si="1"/>
        <v>144</v>
      </c>
      <c r="P26" s="913">
        <f t="shared" si="2"/>
        <v>4517.3500000000004</v>
      </c>
      <c r="Q26" s="913">
        <f t="shared" si="13"/>
        <v>49.8</v>
      </c>
      <c r="R26" s="920">
        <f t="shared" si="3"/>
        <v>1942.2</v>
      </c>
      <c r="S26" s="920">
        <f t="shared" si="4"/>
        <v>479.08</v>
      </c>
      <c r="T26" s="913">
        <f t="shared" si="14"/>
        <v>404.38</v>
      </c>
      <c r="U26" s="920">
        <f t="shared" si="5"/>
        <v>15770.82</v>
      </c>
      <c r="V26" s="920">
        <f t="shared" si="6"/>
        <v>3890.14</v>
      </c>
      <c r="W26" s="913">
        <f t="shared" si="7"/>
        <v>24</v>
      </c>
      <c r="X26" s="919">
        <v>2.5</v>
      </c>
      <c r="Y26" s="919">
        <f t="shared" si="28"/>
        <v>3.54</v>
      </c>
      <c r="Z26" s="919">
        <f t="shared" si="15"/>
        <v>3.18</v>
      </c>
      <c r="AA26" s="919">
        <f t="shared" si="16"/>
        <v>1</v>
      </c>
      <c r="AB26" s="919">
        <f t="shared" si="17"/>
        <v>6.36</v>
      </c>
      <c r="AC26" s="919">
        <f t="shared" si="10"/>
        <v>218</v>
      </c>
      <c r="AD26" s="919">
        <f t="shared" si="18"/>
        <v>3.97</v>
      </c>
      <c r="AE26" s="919">
        <f t="shared" si="19"/>
        <v>2.46</v>
      </c>
      <c r="AF26" s="919">
        <f t="shared" si="20"/>
        <v>73.8</v>
      </c>
      <c r="AG26" s="919">
        <f t="shared" si="21"/>
        <v>386.22</v>
      </c>
      <c r="AH26" s="919">
        <f t="shared" si="22"/>
        <v>470.8</v>
      </c>
    </row>
    <row r="27" spans="1:34" s="921" customFormat="1" ht="33" customHeight="1">
      <c r="A27" s="922"/>
      <c r="B27" s="917">
        <f t="shared" si="25"/>
        <v>1</v>
      </c>
      <c r="C27" s="918">
        <f t="shared" si="26"/>
        <v>0</v>
      </c>
      <c r="D27" s="917">
        <f t="shared" si="27"/>
        <v>2</v>
      </c>
      <c r="E27" s="918">
        <f t="shared" si="27"/>
        <v>0</v>
      </c>
      <c r="F27" s="913">
        <f t="shared" si="0"/>
        <v>20</v>
      </c>
      <c r="G27" s="913">
        <f t="shared" si="23"/>
        <v>4</v>
      </c>
      <c r="H27" s="919">
        <f>H26</f>
        <v>4.9800000000000004</v>
      </c>
      <c r="I27" s="919">
        <f t="shared" si="23"/>
        <v>9</v>
      </c>
      <c r="J27" s="919">
        <f t="shared" si="11"/>
        <v>4.5599999999999996</v>
      </c>
      <c r="K27" s="919">
        <f t="shared" si="24"/>
        <v>10</v>
      </c>
      <c r="L27" s="919">
        <f t="shared" si="24"/>
        <v>3.56</v>
      </c>
      <c r="M27" s="919">
        <v>1.8</v>
      </c>
      <c r="N27" s="913">
        <f t="shared" si="12"/>
        <v>210.58</v>
      </c>
      <c r="O27" s="913">
        <f t="shared" si="1"/>
        <v>144</v>
      </c>
      <c r="P27" s="913">
        <f t="shared" si="2"/>
        <v>4517.3500000000004</v>
      </c>
      <c r="Q27" s="913">
        <f t="shared" si="13"/>
        <v>49.8</v>
      </c>
      <c r="R27" s="920">
        <f t="shared" si="3"/>
        <v>1942.2</v>
      </c>
      <c r="S27" s="920">
        <f t="shared" si="4"/>
        <v>479.08</v>
      </c>
      <c r="T27" s="913">
        <f t="shared" si="14"/>
        <v>404.38</v>
      </c>
      <c r="U27" s="920">
        <f t="shared" si="5"/>
        <v>15770.82</v>
      </c>
      <c r="V27" s="920">
        <f t="shared" si="6"/>
        <v>3890.14</v>
      </c>
      <c r="W27" s="913">
        <f t="shared" si="7"/>
        <v>24</v>
      </c>
      <c r="X27" s="919">
        <v>2.5</v>
      </c>
      <c r="Y27" s="919">
        <f t="shared" si="28"/>
        <v>3.54</v>
      </c>
      <c r="Z27" s="919">
        <f t="shared" si="15"/>
        <v>3.18</v>
      </c>
      <c r="AA27" s="919">
        <f t="shared" si="16"/>
        <v>1</v>
      </c>
      <c r="AB27" s="919">
        <f t="shared" si="17"/>
        <v>6.36</v>
      </c>
      <c r="AC27" s="919">
        <f t="shared" si="10"/>
        <v>218</v>
      </c>
      <c r="AD27" s="919">
        <f t="shared" si="18"/>
        <v>3.97</v>
      </c>
      <c r="AE27" s="919">
        <f t="shared" si="19"/>
        <v>2.46</v>
      </c>
      <c r="AF27" s="919">
        <f t="shared" si="20"/>
        <v>73.8</v>
      </c>
      <c r="AG27" s="919">
        <f t="shared" si="21"/>
        <v>386.22</v>
      </c>
      <c r="AH27" s="919">
        <f t="shared" si="22"/>
        <v>470.8</v>
      </c>
    </row>
    <row r="28" spans="1:34" s="921" customFormat="1" ht="33" customHeight="1">
      <c r="A28" s="922"/>
      <c r="B28" s="917">
        <f>D28-1</f>
        <v>0</v>
      </c>
      <c r="C28" s="918">
        <f t="shared" si="26"/>
        <v>0</v>
      </c>
      <c r="D28" s="917">
        <f t="shared" si="27"/>
        <v>1</v>
      </c>
      <c r="E28" s="918">
        <f t="shared" si="27"/>
        <v>0</v>
      </c>
      <c r="F28" s="913">
        <f t="shared" si="0"/>
        <v>20</v>
      </c>
      <c r="G28" s="913">
        <f t="shared" si="23"/>
        <v>4</v>
      </c>
      <c r="H28" s="919">
        <f t="shared" ref="H28" si="29">H27</f>
        <v>4.9800000000000004</v>
      </c>
      <c r="I28" s="919">
        <f t="shared" si="23"/>
        <v>9</v>
      </c>
      <c r="J28" s="919">
        <f t="shared" si="11"/>
        <v>4.5599999999999996</v>
      </c>
      <c r="K28" s="919">
        <f t="shared" si="24"/>
        <v>10</v>
      </c>
      <c r="L28" s="919">
        <f t="shared" si="24"/>
        <v>3.56</v>
      </c>
      <c r="M28" s="919">
        <v>1.8</v>
      </c>
      <c r="N28" s="913">
        <f t="shared" si="12"/>
        <v>210.58</v>
      </c>
      <c r="O28" s="913">
        <f t="shared" si="1"/>
        <v>144</v>
      </c>
      <c r="P28" s="913">
        <f t="shared" si="2"/>
        <v>4517.3500000000004</v>
      </c>
      <c r="Q28" s="913">
        <f t="shared" si="13"/>
        <v>49.8</v>
      </c>
      <c r="R28" s="920">
        <f t="shared" si="3"/>
        <v>1942.2</v>
      </c>
      <c r="S28" s="920">
        <f t="shared" si="4"/>
        <v>479.08</v>
      </c>
      <c r="T28" s="913">
        <f t="shared" si="14"/>
        <v>404.38</v>
      </c>
      <c r="U28" s="920">
        <f t="shared" si="5"/>
        <v>15770.82</v>
      </c>
      <c r="V28" s="920">
        <f t="shared" si="6"/>
        <v>3890.14</v>
      </c>
      <c r="W28" s="913">
        <f t="shared" si="7"/>
        <v>24</v>
      </c>
      <c r="X28" s="919">
        <v>2.5</v>
      </c>
      <c r="Y28" s="919">
        <f t="shared" si="28"/>
        <v>3.54</v>
      </c>
      <c r="Z28" s="919">
        <f t="shared" si="15"/>
        <v>3.18</v>
      </c>
      <c r="AA28" s="919">
        <f t="shared" si="16"/>
        <v>1</v>
      </c>
      <c r="AB28" s="919">
        <f t="shared" si="17"/>
        <v>6.36</v>
      </c>
      <c r="AC28" s="919">
        <f>(Z28+(1-0.23+0.5+1))*F28*2</f>
        <v>218</v>
      </c>
      <c r="AD28" s="919">
        <f t="shared" si="18"/>
        <v>3.97</v>
      </c>
      <c r="AE28" s="919">
        <f t="shared" si="19"/>
        <v>2.46</v>
      </c>
      <c r="AF28" s="919">
        <f t="shared" si="20"/>
        <v>73.8</v>
      </c>
      <c r="AG28" s="919">
        <f t="shared" si="21"/>
        <v>386.22</v>
      </c>
      <c r="AH28" s="919">
        <f t="shared" si="22"/>
        <v>470.8</v>
      </c>
    </row>
    <row r="29" spans="1:34" s="921" customFormat="1" ht="33" hidden="1" customHeight="1">
      <c r="A29" s="922"/>
      <c r="B29" s="917"/>
      <c r="C29" s="918">
        <f t="shared" si="26"/>
        <v>0</v>
      </c>
      <c r="D29" s="917">
        <f t="shared" si="27"/>
        <v>0</v>
      </c>
      <c r="E29" s="918">
        <f t="shared" si="27"/>
        <v>0</v>
      </c>
      <c r="F29" s="913">
        <f t="shared" si="0"/>
        <v>0</v>
      </c>
      <c r="G29" s="913">
        <f t="shared" si="23"/>
        <v>4</v>
      </c>
      <c r="H29" s="919">
        <f t="shared" ref="H29" si="30">H28</f>
        <v>4.9800000000000004</v>
      </c>
      <c r="I29" s="919">
        <f t="shared" si="23"/>
        <v>9</v>
      </c>
      <c r="J29" s="919">
        <f t="shared" si="11"/>
        <v>4.5599999999999996</v>
      </c>
      <c r="K29" s="919">
        <f t="shared" si="24"/>
        <v>10</v>
      </c>
      <c r="L29" s="919">
        <f t="shared" si="24"/>
        <v>3.56</v>
      </c>
      <c r="M29" s="919">
        <v>1.8</v>
      </c>
      <c r="N29" s="913">
        <f t="shared" si="12"/>
        <v>0</v>
      </c>
      <c r="O29" s="913">
        <f t="shared" si="1"/>
        <v>0</v>
      </c>
      <c r="P29" s="913">
        <f t="shared" si="2"/>
        <v>0</v>
      </c>
      <c r="Q29" s="913">
        <f t="shared" si="13"/>
        <v>0</v>
      </c>
      <c r="R29" s="920">
        <f t="shared" si="3"/>
        <v>0</v>
      </c>
      <c r="S29" s="920">
        <f t="shared" si="4"/>
        <v>0</v>
      </c>
      <c r="T29" s="913">
        <f t="shared" si="14"/>
        <v>0</v>
      </c>
      <c r="U29" s="920">
        <f t="shared" si="5"/>
        <v>0</v>
      </c>
      <c r="V29" s="920">
        <f t="shared" si="6"/>
        <v>0</v>
      </c>
      <c r="W29" s="913">
        <f t="shared" si="7"/>
        <v>0</v>
      </c>
      <c r="X29" s="919">
        <v>2.5</v>
      </c>
      <c r="Y29" s="919">
        <f t="shared" si="28"/>
        <v>3.54</v>
      </c>
      <c r="Z29" s="919">
        <f t="shared" si="15"/>
        <v>3.18</v>
      </c>
      <c r="AA29" s="919">
        <f t="shared" si="16"/>
        <v>0</v>
      </c>
      <c r="AB29" s="919">
        <f t="shared" si="17"/>
        <v>0</v>
      </c>
      <c r="AC29" s="919">
        <f t="shared" ref="AC29:AC39" si="31">(Z29+(1-0.23+0.5+1))*F29*2*5%</f>
        <v>0</v>
      </c>
      <c r="AD29" s="919">
        <f t="shared" si="18"/>
        <v>0</v>
      </c>
      <c r="AE29" s="919">
        <f t="shared" si="19"/>
        <v>0</v>
      </c>
      <c r="AF29" s="919">
        <f t="shared" si="20"/>
        <v>0</v>
      </c>
      <c r="AG29" s="919">
        <f t="shared" si="21"/>
        <v>0</v>
      </c>
      <c r="AH29" s="919">
        <f t="shared" ref="AH29:AH39" si="32">F29*(K29-1.4*2+Y29)</f>
        <v>0</v>
      </c>
    </row>
    <row r="30" spans="1:34" s="921" customFormat="1" ht="33" hidden="1" customHeight="1">
      <c r="A30" s="922"/>
      <c r="B30" s="917"/>
      <c r="C30" s="918">
        <f t="shared" si="26"/>
        <v>0</v>
      </c>
      <c r="D30" s="917">
        <f t="shared" si="27"/>
        <v>0</v>
      </c>
      <c r="E30" s="918">
        <f t="shared" si="27"/>
        <v>0</v>
      </c>
      <c r="F30" s="913">
        <f t="shared" si="0"/>
        <v>0</v>
      </c>
      <c r="G30" s="913">
        <f t="shared" si="23"/>
        <v>4</v>
      </c>
      <c r="H30" s="919">
        <f t="shared" ref="H30" si="33">H29</f>
        <v>4.9800000000000004</v>
      </c>
      <c r="I30" s="919">
        <f t="shared" si="23"/>
        <v>9</v>
      </c>
      <c r="J30" s="919">
        <f t="shared" si="11"/>
        <v>4.5599999999999996</v>
      </c>
      <c r="K30" s="919">
        <f t="shared" si="24"/>
        <v>10</v>
      </c>
      <c r="L30" s="919">
        <f t="shared" si="24"/>
        <v>3.56</v>
      </c>
      <c r="M30" s="919">
        <v>1.8</v>
      </c>
      <c r="N30" s="913">
        <f t="shared" si="12"/>
        <v>0</v>
      </c>
      <c r="O30" s="913">
        <f t="shared" si="1"/>
        <v>0</v>
      </c>
      <c r="P30" s="913">
        <f t="shared" si="2"/>
        <v>0</v>
      </c>
      <c r="Q30" s="913">
        <f t="shared" si="13"/>
        <v>0</v>
      </c>
      <c r="R30" s="920">
        <f t="shared" si="3"/>
        <v>0</v>
      </c>
      <c r="S30" s="920">
        <f t="shared" si="4"/>
        <v>0</v>
      </c>
      <c r="T30" s="913">
        <f t="shared" si="14"/>
        <v>0</v>
      </c>
      <c r="U30" s="920">
        <f t="shared" si="5"/>
        <v>0</v>
      </c>
      <c r="V30" s="920">
        <f t="shared" si="6"/>
        <v>0</v>
      </c>
      <c r="W30" s="913">
        <f t="shared" si="7"/>
        <v>0</v>
      </c>
      <c r="X30" s="919">
        <v>2.5</v>
      </c>
      <c r="Y30" s="919">
        <f t="shared" si="28"/>
        <v>3.54</v>
      </c>
      <c r="Z30" s="919">
        <f t="shared" si="15"/>
        <v>3.18</v>
      </c>
      <c r="AA30" s="919">
        <f t="shared" si="16"/>
        <v>0</v>
      </c>
      <c r="AB30" s="919">
        <f t="shared" si="17"/>
        <v>0</v>
      </c>
      <c r="AC30" s="919">
        <f t="shared" si="31"/>
        <v>0</v>
      </c>
      <c r="AD30" s="919">
        <f t="shared" si="18"/>
        <v>0</v>
      </c>
      <c r="AE30" s="919">
        <f t="shared" si="19"/>
        <v>0</v>
      </c>
      <c r="AF30" s="919">
        <f t="shared" si="20"/>
        <v>0</v>
      </c>
      <c r="AG30" s="919">
        <f t="shared" si="21"/>
        <v>0</v>
      </c>
      <c r="AH30" s="919">
        <f t="shared" si="32"/>
        <v>0</v>
      </c>
    </row>
    <row r="31" spans="1:34" s="921" customFormat="1" ht="33" hidden="1" customHeight="1">
      <c r="A31" s="922"/>
      <c r="B31" s="917"/>
      <c r="C31" s="918">
        <f t="shared" si="26"/>
        <v>0</v>
      </c>
      <c r="D31" s="917">
        <f t="shared" si="27"/>
        <v>0</v>
      </c>
      <c r="E31" s="918">
        <f t="shared" si="27"/>
        <v>0</v>
      </c>
      <c r="F31" s="913">
        <f t="shared" si="0"/>
        <v>0</v>
      </c>
      <c r="G31" s="913">
        <f t="shared" ref="G31:I39" si="34">G30</f>
        <v>4</v>
      </c>
      <c r="H31" s="919">
        <f t="shared" si="34"/>
        <v>4.9800000000000004</v>
      </c>
      <c r="I31" s="919">
        <f t="shared" si="34"/>
        <v>9</v>
      </c>
      <c r="J31" s="919">
        <f t="shared" si="11"/>
        <v>4.5599999999999996</v>
      </c>
      <c r="K31" s="919">
        <f t="shared" ref="K31:L39" si="35">K30</f>
        <v>10</v>
      </c>
      <c r="L31" s="919">
        <f t="shared" si="35"/>
        <v>3.56</v>
      </c>
      <c r="M31" s="919">
        <v>1.8</v>
      </c>
      <c r="N31" s="913">
        <f t="shared" si="12"/>
        <v>0</v>
      </c>
      <c r="O31" s="913">
        <f t="shared" si="1"/>
        <v>0</v>
      </c>
      <c r="P31" s="913">
        <f t="shared" si="2"/>
        <v>0</v>
      </c>
      <c r="Q31" s="913">
        <f t="shared" si="13"/>
        <v>0</v>
      </c>
      <c r="R31" s="920">
        <f t="shared" si="3"/>
        <v>0</v>
      </c>
      <c r="S31" s="920">
        <f t="shared" si="4"/>
        <v>0</v>
      </c>
      <c r="T31" s="913">
        <f t="shared" si="14"/>
        <v>0</v>
      </c>
      <c r="U31" s="920">
        <f t="shared" si="5"/>
        <v>0</v>
      </c>
      <c r="V31" s="920">
        <f t="shared" si="6"/>
        <v>0</v>
      </c>
      <c r="W31" s="913">
        <f t="shared" si="7"/>
        <v>0</v>
      </c>
      <c r="X31" s="919">
        <v>2.5</v>
      </c>
      <c r="Y31" s="919">
        <f t="shared" si="28"/>
        <v>3.54</v>
      </c>
      <c r="Z31" s="919">
        <f t="shared" si="15"/>
        <v>3.18</v>
      </c>
      <c r="AA31" s="919">
        <f t="shared" si="16"/>
        <v>0</v>
      </c>
      <c r="AB31" s="919">
        <f t="shared" si="17"/>
        <v>0</v>
      </c>
      <c r="AC31" s="919">
        <f t="shared" si="31"/>
        <v>0</v>
      </c>
      <c r="AD31" s="919">
        <f t="shared" si="18"/>
        <v>0</v>
      </c>
      <c r="AE31" s="919">
        <f t="shared" si="19"/>
        <v>0</v>
      </c>
      <c r="AF31" s="919">
        <f t="shared" si="20"/>
        <v>0</v>
      </c>
      <c r="AG31" s="919">
        <f t="shared" si="21"/>
        <v>0</v>
      </c>
      <c r="AH31" s="919">
        <f t="shared" si="32"/>
        <v>0</v>
      </c>
    </row>
    <row r="32" spans="1:34" s="921" customFormat="1" ht="33" hidden="1" customHeight="1">
      <c r="A32" s="922"/>
      <c r="B32" s="917"/>
      <c r="C32" s="918">
        <f t="shared" si="26"/>
        <v>0</v>
      </c>
      <c r="D32" s="917">
        <f t="shared" ref="D32:E39" si="36">B31</f>
        <v>0</v>
      </c>
      <c r="E32" s="918">
        <f t="shared" si="36"/>
        <v>0</v>
      </c>
      <c r="F32" s="913">
        <f t="shared" si="0"/>
        <v>0</v>
      </c>
      <c r="G32" s="913">
        <f t="shared" si="34"/>
        <v>4</v>
      </c>
      <c r="H32" s="919">
        <f t="shared" si="34"/>
        <v>4.9800000000000004</v>
      </c>
      <c r="I32" s="919">
        <f t="shared" si="34"/>
        <v>9</v>
      </c>
      <c r="J32" s="919">
        <f t="shared" si="11"/>
        <v>4.5599999999999996</v>
      </c>
      <c r="K32" s="919">
        <f t="shared" si="35"/>
        <v>10</v>
      </c>
      <c r="L32" s="919">
        <f t="shared" si="35"/>
        <v>3.56</v>
      </c>
      <c r="M32" s="919">
        <v>1.8</v>
      </c>
      <c r="N32" s="913">
        <f t="shared" si="12"/>
        <v>0</v>
      </c>
      <c r="O32" s="913">
        <f t="shared" si="1"/>
        <v>0</v>
      </c>
      <c r="P32" s="913">
        <f t="shared" si="2"/>
        <v>0</v>
      </c>
      <c r="Q32" s="913">
        <f t="shared" si="13"/>
        <v>0</v>
      </c>
      <c r="R32" s="920">
        <f t="shared" si="3"/>
        <v>0</v>
      </c>
      <c r="S32" s="920">
        <f t="shared" si="4"/>
        <v>0</v>
      </c>
      <c r="T32" s="913">
        <f t="shared" si="14"/>
        <v>0</v>
      </c>
      <c r="U32" s="920">
        <f t="shared" si="5"/>
        <v>0</v>
      </c>
      <c r="V32" s="920">
        <f t="shared" si="6"/>
        <v>0</v>
      </c>
      <c r="W32" s="913">
        <f t="shared" si="7"/>
        <v>0</v>
      </c>
      <c r="X32" s="919">
        <v>2.5</v>
      </c>
      <c r="Y32" s="919">
        <f t="shared" si="28"/>
        <v>3.54</v>
      </c>
      <c r="Z32" s="919">
        <f t="shared" si="15"/>
        <v>3.18</v>
      </c>
      <c r="AA32" s="919">
        <f t="shared" si="16"/>
        <v>0</v>
      </c>
      <c r="AB32" s="919">
        <f t="shared" si="17"/>
        <v>0</v>
      </c>
      <c r="AC32" s="919">
        <f t="shared" si="31"/>
        <v>0</v>
      </c>
      <c r="AD32" s="919">
        <f t="shared" si="18"/>
        <v>0</v>
      </c>
      <c r="AE32" s="919">
        <f t="shared" si="19"/>
        <v>0</v>
      </c>
      <c r="AF32" s="919">
        <f t="shared" si="20"/>
        <v>0</v>
      </c>
      <c r="AG32" s="919">
        <f t="shared" si="21"/>
        <v>0</v>
      </c>
      <c r="AH32" s="919">
        <f t="shared" si="32"/>
        <v>0</v>
      </c>
    </row>
    <row r="33" spans="1:34" s="921" customFormat="1" ht="33" hidden="1" customHeight="1">
      <c r="A33" s="922"/>
      <c r="B33" s="917"/>
      <c r="C33" s="918">
        <f t="shared" si="26"/>
        <v>0</v>
      </c>
      <c r="D33" s="917">
        <f t="shared" si="36"/>
        <v>0</v>
      </c>
      <c r="E33" s="918">
        <f t="shared" si="36"/>
        <v>0</v>
      </c>
      <c r="F33" s="913">
        <f t="shared" si="0"/>
        <v>0</v>
      </c>
      <c r="G33" s="913">
        <f t="shared" si="34"/>
        <v>4</v>
      </c>
      <c r="H33" s="919">
        <f t="shared" si="34"/>
        <v>4.9800000000000004</v>
      </c>
      <c r="I33" s="919">
        <f t="shared" si="34"/>
        <v>9</v>
      </c>
      <c r="J33" s="919">
        <f t="shared" si="11"/>
        <v>4.5599999999999996</v>
      </c>
      <c r="K33" s="919">
        <f t="shared" si="35"/>
        <v>10</v>
      </c>
      <c r="L33" s="919">
        <f t="shared" si="35"/>
        <v>3.56</v>
      </c>
      <c r="M33" s="919">
        <v>1.8</v>
      </c>
      <c r="N33" s="913">
        <f t="shared" si="12"/>
        <v>0</v>
      </c>
      <c r="O33" s="913">
        <f t="shared" si="1"/>
        <v>0</v>
      </c>
      <c r="P33" s="913">
        <f t="shared" si="2"/>
        <v>0</v>
      </c>
      <c r="Q33" s="913">
        <f t="shared" si="13"/>
        <v>0</v>
      </c>
      <c r="R33" s="920">
        <f t="shared" si="3"/>
        <v>0</v>
      </c>
      <c r="S33" s="920">
        <f t="shared" si="4"/>
        <v>0</v>
      </c>
      <c r="T33" s="913">
        <f t="shared" si="14"/>
        <v>0</v>
      </c>
      <c r="U33" s="920">
        <f t="shared" si="5"/>
        <v>0</v>
      </c>
      <c r="V33" s="920">
        <f t="shared" si="6"/>
        <v>0</v>
      </c>
      <c r="W33" s="913">
        <f t="shared" si="7"/>
        <v>0</v>
      </c>
      <c r="X33" s="919">
        <v>2.5</v>
      </c>
      <c r="Y33" s="919">
        <f t="shared" si="28"/>
        <v>3.54</v>
      </c>
      <c r="Z33" s="919">
        <f t="shared" si="15"/>
        <v>3.18</v>
      </c>
      <c r="AA33" s="919">
        <f t="shared" si="16"/>
        <v>0</v>
      </c>
      <c r="AB33" s="919">
        <f t="shared" si="17"/>
        <v>0</v>
      </c>
      <c r="AC33" s="919">
        <f t="shared" si="31"/>
        <v>0</v>
      </c>
      <c r="AD33" s="919">
        <f t="shared" si="18"/>
        <v>0</v>
      </c>
      <c r="AE33" s="919">
        <f t="shared" si="19"/>
        <v>0</v>
      </c>
      <c r="AF33" s="919">
        <f t="shared" si="20"/>
        <v>0</v>
      </c>
      <c r="AG33" s="919">
        <f t="shared" si="21"/>
        <v>0</v>
      </c>
      <c r="AH33" s="919">
        <f t="shared" si="32"/>
        <v>0</v>
      </c>
    </row>
    <row r="34" spans="1:34" s="921" customFormat="1" ht="33" hidden="1" customHeight="1">
      <c r="A34" s="922"/>
      <c r="B34" s="917"/>
      <c r="C34" s="918">
        <f t="shared" si="26"/>
        <v>0</v>
      </c>
      <c r="D34" s="917">
        <f t="shared" si="36"/>
        <v>0</v>
      </c>
      <c r="E34" s="918">
        <f t="shared" si="36"/>
        <v>0</v>
      </c>
      <c r="F34" s="913">
        <f t="shared" si="0"/>
        <v>0</v>
      </c>
      <c r="G34" s="913">
        <f t="shared" si="34"/>
        <v>4</v>
      </c>
      <c r="H34" s="919">
        <f>H33</f>
        <v>4.9800000000000004</v>
      </c>
      <c r="I34" s="919">
        <f t="shared" si="34"/>
        <v>9</v>
      </c>
      <c r="J34" s="919">
        <f t="shared" si="11"/>
        <v>4.5599999999999996</v>
      </c>
      <c r="K34" s="919">
        <f t="shared" si="35"/>
        <v>10</v>
      </c>
      <c r="L34" s="919">
        <f t="shared" si="35"/>
        <v>3.56</v>
      </c>
      <c r="M34" s="919">
        <v>1.8</v>
      </c>
      <c r="N34" s="913">
        <f t="shared" si="12"/>
        <v>0</v>
      </c>
      <c r="O34" s="913">
        <f t="shared" si="1"/>
        <v>0</v>
      </c>
      <c r="P34" s="913">
        <f t="shared" si="2"/>
        <v>0</v>
      </c>
      <c r="Q34" s="913">
        <f t="shared" si="13"/>
        <v>0</v>
      </c>
      <c r="R34" s="920">
        <f t="shared" si="3"/>
        <v>0</v>
      </c>
      <c r="S34" s="920">
        <f t="shared" si="4"/>
        <v>0</v>
      </c>
      <c r="T34" s="913">
        <f t="shared" si="14"/>
        <v>0</v>
      </c>
      <c r="U34" s="920">
        <f t="shared" si="5"/>
        <v>0</v>
      </c>
      <c r="V34" s="920">
        <f t="shared" si="6"/>
        <v>0</v>
      </c>
      <c r="W34" s="913">
        <f t="shared" si="7"/>
        <v>0</v>
      </c>
      <c r="X34" s="919">
        <v>2.5</v>
      </c>
      <c r="Y34" s="919">
        <f t="shared" si="28"/>
        <v>3.54</v>
      </c>
      <c r="Z34" s="919">
        <f t="shared" si="15"/>
        <v>3.18</v>
      </c>
      <c r="AA34" s="919">
        <f t="shared" si="16"/>
        <v>0</v>
      </c>
      <c r="AB34" s="919">
        <f t="shared" si="17"/>
        <v>0</v>
      </c>
      <c r="AC34" s="919">
        <f t="shared" si="31"/>
        <v>0</v>
      </c>
      <c r="AD34" s="919">
        <f t="shared" si="18"/>
        <v>0</v>
      </c>
      <c r="AE34" s="919">
        <f t="shared" si="19"/>
        <v>0</v>
      </c>
      <c r="AF34" s="919">
        <f t="shared" si="20"/>
        <v>0</v>
      </c>
      <c r="AG34" s="919">
        <f t="shared" si="21"/>
        <v>0</v>
      </c>
      <c r="AH34" s="919">
        <f t="shared" si="32"/>
        <v>0</v>
      </c>
    </row>
    <row r="35" spans="1:34" s="921" customFormat="1" ht="33" hidden="1" customHeight="1">
      <c r="A35" s="922"/>
      <c r="B35" s="917"/>
      <c r="C35" s="918">
        <f t="shared" si="26"/>
        <v>0</v>
      </c>
      <c r="D35" s="917">
        <f t="shared" si="36"/>
        <v>0</v>
      </c>
      <c r="E35" s="918">
        <f t="shared" si="36"/>
        <v>0</v>
      </c>
      <c r="F35" s="913">
        <f t="shared" si="0"/>
        <v>0</v>
      </c>
      <c r="G35" s="913">
        <f t="shared" si="34"/>
        <v>4</v>
      </c>
      <c r="H35" s="919">
        <f t="shared" si="34"/>
        <v>4.9800000000000004</v>
      </c>
      <c r="I35" s="919">
        <f t="shared" si="34"/>
        <v>9</v>
      </c>
      <c r="J35" s="919">
        <f t="shared" si="11"/>
        <v>4.5599999999999996</v>
      </c>
      <c r="K35" s="919">
        <f t="shared" si="35"/>
        <v>10</v>
      </c>
      <c r="L35" s="919">
        <f t="shared" si="35"/>
        <v>3.56</v>
      </c>
      <c r="M35" s="919">
        <v>1.8</v>
      </c>
      <c r="N35" s="913">
        <f t="shared" si="12"/>
        <v>0</v>
      </c>
      <c r="O35" s="913">
        <f t="shared" si="1"/>
        <v>0</v>
      </c>
      <c r="P35" s="913">
        <f t="shared" si="2"/>
        <v>0</v>
      </c>
      <c r="Q35" s="913">
        <f t="shared" si="13"/>
        <v>0</v>
      </c>
      <c r="R35" s="920">
        <f t="shared" si="3"/>
        <v>0</v>
      </c>
      <c r="S35" s="920">
        <f t="shared" si="4"/>
        <v>0</v>
      </c>
      <c r="T35" s="913">
        <f t="shared" si="14"/>
        <v>0</v>
      </c>
      <c r="U35" s="920">
        <f t="shared" si="5"/>
        <v>0</v>
      </c>
      <c r="V35" s="920">
        <f t="shared" si="6"/>
        <v>0</v>
      </c>
      <c r="W35" s="913">
        <f t="shared" si="7"/>
        <v>0</v>
      </c>
      <c r="X35" s="919">
        <v>2.5</v>
      </c>
      <c r="Y35" s="919">
        <f t="shared" si="28"/>
        <v>3.54</v>
      </c>
      <c r="Z35" s="919">
        <f t="shared" si="15"/>
        <v>3.18</v>
      </c>
      <c r="AA35" s="919">
        <f t="shared" si="16"/>
        <v>0</v>
      </c>
      <c r="AB35" s="919">
        <f t="shared" si="17"/>
        <v>0</v>
      </c>
      <c r="AC35" s="919">
        <f t="shared" si="31"/>
        <v>0</v>
      </c>
      <c r="AD35" s="919">
        <f t="shared" si="18"/>
        <v>0</v>
      </c>
      <c r="AE35" s="919">
        <f t="shared" si="19"/>
        <v>0</v>
      </c>
      <c r="AF35" s="919">
        <f t="shared" si="20"/>
        <v>0</v>
      </c>
      <c r="AG35" s="919">
        <f t="shared" si="21"/>
        <v>0</v>
      </c>
      <c r="AH35" s="919">
        <f t="shared" si="32"/>
        <v>0</v>
      </c>
    </row>
    <row r="36" spans="1:34" s="921" customFormat="1" ht="33" hidden="1" customHeight="1">
      <c r="A36" s="922"/>
      <c r="B36" s="917"/>
      <c r="C36" s="918">
        <f t="shared" si="26"/>
        <v>0</v>
      </c>
      <c r="D36" s="917">
        <f t="shared" si="36"/>
        <v>0</v>
      </c>
      <c r="E36" s="918">
        <f t="shared" si="36"/>
        <v>0</v>
      </c>
      <c r="F36" s="913">
        <f t="shared" si="0"/>
        <v>0</v>
      </c>
      <c r="G36" s="913">
        <f t="shared" si="34"/>
        <v>4</v>
      </c>
      <c r="H36" s="919">
        <f t="shared" si="34"/>
        <v>4.9800000000000004</v>
      </c>
      <c r="I36" s="919">
        <f t="shared" si="34"/>
        <v>9</v>
      </c>
      <c r="J36" s="919">
        <f>L36+1</f>
        <v>4.5599999999999996</v>
      </c>
      <c r="K36" s="919">
        <f t="shared" si="35"/>
        <v>10</v>
      </c>
      <c r="L36" s="919">
        <f t="shared" si="35"/>
        <v>3.56</v>
      </c>
      <c r="M36" s="919">
        <v>1.8</v>
      </c>
      <c r="N36" s="913">
        <f t="shared" si="12"/>
        <v>0</v>
      </c>
      <c r="O36" s="913">
        <f t="shared" si="1"/>
        <v>0</v>
      </c>
      <c r="P36" s="913">
        <f t="shared" si="2"/>
        <v>0</v>
      </c>
      <c r="Q36" s="913">
        <f t="shared" si="13"/>
        <v>0</v>
      </c>
      <c r="R36" s="920">
        <f t="shared" si="3"/>
        <v>0</v>
      </c>
      <c r="S36" s="920">
        <f t="shared" si="4"/>
        <v>0</v>
      </c>
      <c r="T36" s="913">
        <f t="shared" si="14"/>
        <v>0</v>
      </c>
      <c r="U36" s="920">
        <f t="shared" si="5"/>
        <v>0</v>
      </c>
      <c r="V36" s="920">
        <f t="shared" si="6"/>
        <v>0</v>
      </c>
      <c r="W36" s="913">
        <f t="shared" si="7"/>
        <v>0</v>
      </c>
      <c r="X36" s="919"/>
      <c r="Y36" s="919"/>
      <c r="Z36" s="919">
        <f t="shared" si="15"/>
        <v>-0.36</v>
      </c>
      <c r="AA36" s="919">
        <f t="shared" si="16"/>
        <v>0</v>
      </c>
      <c r="AB36" s="919">
        <f t="shared" si="17"/>
        <v>0</v>
      </c>
      <c r="AC36" s="919">
        <f t="shared" si="31"/>
        <v>0</v>
      </c>
      <c r="AD36" s="919">
        <f t="shared" si="18"/>
        <v>0</v>
      </c>
      <c r="AE36" s="919">
        <f t="shared" si="19"/>
        <v>0</v>
      </c>
      <c r="AF36" s="919">
        <f t="shared" si="20"/>
        <v>0</v>
      </c>
      <c r="AG36" s="919">
        <f t="shared" si="21"/>
        <v>0</v>
      </c>
      <c r="AH36" s="919">
        <f t="shared" si="32"/>
        <v>0</v>
      </c>
    </row>
    <row r="37" spans="1:34" s="921" customFormat="1" ht="33" hidden="1" customHeight="1">
      <c r="A37" s="922"/>
      <c r="B37" s="917"/>
      <c r="C37" s="918">
        <f t="shared" si="26"/>
        <v>0</v>
      </c>
      <c r="D37" s="917">
        <f t="shared" si="36"/>
        <v>0</v>
      </c>
      <c r="E37" s="918">
        <f t="shared" si="36"/>
        <v>0</v>
      </c>
      <c r="F37" s="913">
        <f t="shared" si="0"/>
        <v>0</v>
      </c>
      <c r="G37" s="913">
        <f t="shared" si="34"/>
        <v>4</v>
      </c>
      <c r="H37" s="919">
        <f t="shared" si="34"/>
        <v>4.9800000000000004</v>
      </c>
      <c r="I37" s="919">
        <f t="shared" si="34"/>
        <v>9</v>
      </c>
      <c r="J37" s="919">
        <f t="shared" ref="J37:J39" si="37">L37+1</f>
        <v>4.5599999999999996</v>
      </c>
      <c r="K37" s="919">
        <f t="shared" si="35"/>
        <v>10</v>
      </c>
      <c r="L37" s="919">
        <f t="shared" si="35"/>
        <v>3.56</v>
      </c>
      <c r="M37" s="919">
        <v>1.8</v>
      </c>
      <c r="N37" s="913">
        <f t="shared" si="12"/>
        <v>0</v>
      </c>
      <c r="O37" s="913">
        <f t="shared" si="1"/>
        <v>0</v>
      </c>
      <c r="P37" s="913">
        <f t="shared" si="2"/>
        <v>0</v>
      </c>
      <c r="Q37" s="913">
        <f t="shared" si="13"/>
        <v>0</v>
      </c>
      <c r="R37" s="920">
        <f t="shared" si="3"/>
        <v>0</v>
      </c>
      <c r="S37" s="920">
        <f t="shared" si="4"/>
        <v>0</v>
      </c>
      <c r="T37" s="913">
        <f t="shared" si="14"/>
        <v>0</v>
      </c>
      <c r="U37" s="920">
        <f t="shared" si="5"/>
        <v>0</v>
      </c>
      <c r="V37" s="920">
        <f t="shared" si="6"/>
        <v>0</v>
      </c>
      <c r="W37" s="913">
        <f t="shared" si="7"/>
        <v>0</v>
      </c>
      <c r="X37" s="919"/>
      <c r="Y37" s="919"/>
      <c r="Z37" s="919">
        <f t="shared" si="15"/>
        <v>-0.36</v>
      </c>
      <c r="AA37" s="919">
        <f t="shared" si="16"/>
        <v>0</v>
      </c>
      <c r="AB37" s="919">
        <f t="shared" si="17"/>
        <v>0</v>
      </c>
      <c r="AC37" s="919">
        <f t="shared" si="31"/>
        <v>0</v>
      </c>
      <c r="AD37" s="919">
        <f t="shared" si="18"/>
        <v>0</v>
      </c>
      <c r="AE37" s="919">
        <f t="shared" si="19"/>
        <v>0</v>
      </c>
      <c r="AF37" s="919">
        <f t="shared" si="20"/>
        <v>0</v>
      </c>
      <c r="AG37" s="919">
        <f t="shared" si="21"/>
        <v>0</v>
      </c>
      <c r="AH37" s="919">
        <f t="shared" si="32"/>
        <v>0</v>
      </c>
    </row>
    <row r="38" spans="1:34" s="921" customFormat="1" ht="33" hidden="1" customHeight="1">
      <c r="A38" s="922"/>
      <c r="B38" s="917"/>
      <c r="C38" s="918">
        <f t="shared" si="26"/>
        <v>0</v>
      </c>
      <c r="D38" s="917">
        <f t="shared" si="36"/>
        <v>0</v>
      </c>
      <c r="E38" s="918">
        <f t="shared" si="36"/>
        <v>0</v>
      </c>
      <c r="F38" s="913">
        <f t="shared" si="0"/>
        <v>0</v>
      </c>
      <c r="G38" s="913">
        <f t="shared" si="34"/>
        <v>4</v>
      </c>
      <c r="H38" s="919">
        <f t="shared" si="34"/>
        <v>4.9800000000000004</v>
      </c>
      <c r="I38" s="919">
        <f t="shared" si="34"/>
        <v>9</v>
      </c>
      <c r="J38" s="919">
        <f t="shared" si="37"/>
        <v>4.5599999999999996</v>
      </c>
      <c r="K38" s="919">
        <f t="shared" si="35"/>
        <v>10</v>
      </c>
      <c r="L38" s="919">
        <f t="shared" si="35"/>
        <v>3.56</v>
      </c>
      <c r="M38" s="919">
        <v>1.8</v>
      </c>
      <c r="N38" s="913">
        <f t="shared" si="12"/>
        <v>0</v>
      </c>
      <c r="O38" s="913">
        <f t="shared" si="1"/>
        <v>0</v>
      </c>
      <c r="P38" s="913">
        <f t="shared" si="2"/>
        <v>0</v>
      </c>
      <c r="Q38" s="913">
        <f t="shared" si="13"/>
        <v>0</v>
      </c>
      <c r="R38" s="920">
        <f t="shared" si="3"/>
        <v>0</v>
      </c>
      <c r="S38" s="920">
        <f t="shared" si="4"/>
        <v>0</v>
      </c>
      <c r="T38" s="913">
        <f t="shared" si="14"/>
        <v>0</v>
      </c>
      <c r="U38" s="920">
        <f t="shared" si="5"/>
        <v>0</v>
      </c>
      <c r="V38" s="920">
        <f t="shared" si="6"/>
        <v>0</v>
      </c>
      <c r="W38" s="913">
        <f t="shared" si="7"/>
        <v>0</v>
      </c>
      <c r="X38" s="919"/>
      <c r="Y38" s="919"/>
      <c r="Z38" s="919">
        <f t="shared" si="15"/>
        <v>-0.36</v>
      </c>
      <c r="AA38" s="919">
        <f t="shared" si="16"/>
        <v>0</v>
      </c>
      <c r="AB38" s="919">
        <f t="shared" si="17"/>
        <v>0</v>
      </c>
      <c r="AC38" s="919">
        <f t="shared" si="31"/>
        <v>0</v>
      </c>
      <c r="AD38" s="919">
        <f t="shared" si="18"/>
        <v>0</v>
      </c>
      <c r="AE38" s="919">
        <f t="shared" si="19"/>
        <v>0</v>
      </c>
      <c r="AF38" s="919">
        <f t="shared" si="20"/>
        <v>0</v>
      </c>
      <c r="AG38" s="919">
        <f t="shared" si="21"/>
        <v>0</v>
      </c>
      <c r="AH38" s="919">
        <f t="shared" si="32"/>
        <v>0</v>
      </c>
    </row>
    <row r="39" spans="1:34" s="921" customFormat="1" ht="33" hidden="1" customHeight="1">
      <c r="A39" s="922"/>
      <c r="B39" s="917"/>
      <c r="C39" s="918">
        <f t="shared" si="26"/>
        <v>0</v>
      </c>
      <c r="D39" s="917">
        <f t="shared" si="36"/>
        <v>0</v>
      </c>
      <c r="E39" s="918">
        <f t="shared" si="36"/>
        <v>0</v>
      </c>
      <c r="F39" s="913">
        <f t="shared" si="0"/>
        <v>0</v>
      </c>
      <c r="G39" s="913">
        <f t="shared" si="34"/>
        <v>4</v>
      </c>
      <c r="H39" s="919">
        <f t="shared" si="34"/>
        <v>4.9800000000000004</v>
      </c>
      <c r="I39" s="919">
        <f t="shared" si="34"/>
        <v>9</v>
      </c>
      <c r="J39" s="919">
        <f t="shared" si="37"/>
        <v>4.5599999999999996</v>
      </c>
      <c r="K39" s="919">
        <f t="shared" si="35"/>
        <v>10</v>
      </c>
      <c r="L39" s="919">
        <f t="shared" si="35"/>
        <v>3.56</v>
      </c>
      <c r="M39" s="919">
        <v>1.8</v>
      </c>
      <c r="N39" s="913">
        <f t="shared" si="12"/>
        <v>0</v>
      </c>
      <c r="O39" s="913">
        <f t="shared" si="1"/>
        <v>0</v>
      </c>
      <c r="P39" s="913">
        <f t="shared" si="2"/>
        <v>0</v>
      </c>
      <c r="Q39" s="913">
        <f t="shared" si="13"/>
        <v>0</v>
      </c>
      <c r="R39" s="920">
        <f t="shared" si="3"/>
        <v>0</v>
      </c>
      <c r="S39" s="920">
        <f t="shared" si="4"/>
        <v>0</v>
      </c>
      <c r="T39" s="913">
        <f t="shared" si="14"/>
        <v>0</v>
      </c>
      <c r="U39" s="920">
        <f t="shared" si="5"/>
        <v>0</v>
      </c>
      <c r="V39" s="920">
        <f t="shared" si="6"/>
        <v>0</v>
      </c>
      <c r="W39" s="913">
        <f t="shared" si="7"/>
        <v>0</v>
      </c>
      <c r="X39" s="919"/>
      <c r="Y39" s="919"/>
      <c r="Z39" s="919">
        <f t="shared" si="15"/>
        <v>-0.36</v>
      </c>
      <c r="AA39" s="919">
        <f t="shared" si="16"/>
        <v>0</v>
      </c>
      <c r="AB39" s="919">
        <f t="shared" si="17"/>
        <v>0</v>
      </c>
      <c r="AC39" s="919">
        <f t="shared" si="31"/>
        <v>0</v>
      </c>
      <c r="AD39" s="919">
        <f t="shared" si="18"/>
        <v>0</v>
      </c>
      <c r="AE39" s="919">
        <f t="shared" si="19"/>
        <v>0</v>
      </c>
      <c r="AF39" s="919">
        <f t="shared" si="20"/>
        <v>0</v>
      </c>
      <c r="AG39" s="919">
        <f t="shared" si="21"/>
        <v>0</v>
      </c>
      <c r="AH39" s="919">
        <f t="shared" si="32"/>
        <v>0</v>
      </c>
    </row>
    <row r="40" spans="1:34" s="924" customFormat="1" ht="21.75" customHeight="1">
      <c r="A40" s="1721" t="s">
        <v>22</v>
      </c>
      <c r="B40" s="1721"/>
      <c r="C40" s="1721"/>
      <c r="D40" s="1721"/>
      <c r="E40" s="1721"/>
      <c r="F40" s="923">
        <f>SUM(F12:F39)</f>
        <v>320</v>
      </c>
      <c r="G40" s="923"/>
      <c r="H40" s="923"/>
      <c r="I40" s="923"/>
      <c r="J40" s="923"/>
      <c r="K40" s="923"/>
      <c r="L40" s="923"/>
      <c r="M40" s="923"/>
      <c r="N40" s="923">
        <f t="shared" ref="N40:W40" si="38">SUM(N12:N39)</f>
        <v>3369.28</v>
      </c>
      <c r="O40" s="923">
        <f t="shared" si="38"/>
        <v>2304</v>
      </c>
      <c r="P40" s="923">
        <f t="shared" si="38"/>
        <v>72277.600000000006</v>
      </c>
      <c r="Q40" s="923">
        <f t="shared" si="38"/>
        <v>796.8</v>
      </c>
      <c r="R40" s="923">
        <f t="shared" si="38"/>
        <v>31075.200000000001</v>
      </c>
      <c r="S40" s="923">
        <f t="shared" si="38"/>
        <v>7665.28</v>
      </c>
      <c r="T40" s="923">
        <f t="shared" si="38"/>
        <v>6470.08</v>
      </c>
      <c r="U40" s="923">
        <f t="shared" si="38"/>
        <v>252333.12</v>
      </c>
      <c r="V40" s="923">
        <f t="shared" si="38"/>
        <v>62242.239999999998</v>
      </c>
      <c r="W40" s="923">
        <f t="shared" si="38"/>
        <v>384</v>
      </c>
      <c r="X40" s="923"/>
      <c r="Y40" s="923"/>
      <c r="Z40" s="923"/>
      <c r="AA40" s="923">
        <f t="shared" ref="AA40:AG40" si="39">SUM(AA12:AA39)</f>
        <v>16</v>
      </c>
      <c r="AB40" s="923">
        <f t="shared" si="39"/>
        <v>101.76</v>
      </c>
      <c r="AC40" s="923">
        <f t="shared" si="39"/>
        <v>3488</v>
      </c>
      <c r="AD40" s="923">
        <f t="shared" si="39"/>
        <v>63.52</v>
      </c>
      <c r="AE40" s="923">
        <f t="shared" si="39"/>
        <v>39.36</v>
      </c>
      <c r="AF40" s="923">
        <f t="shared" si="39"/>
        <v>1180.8</v>
      </c>
      <c r="AG40" s="923">
        <f t="shared" si="39"/>
        <v>6179.52</v>
      </c>
      <c r="AH40" s="923">
        <f>SUM(AH11:AH39)</f>
        <v>7532.8</v>
      </c>
    </row>
    <row r="41" spans="1:34" s="921" customFormat="1" ht="33" customHeight="1">
      <c r="A41" s="922" t="s">
        <v>1716</v>
      </c>
      <c r="B41" s="917">
        <v>2</v>
      </c>
      <c r="C41" s="918">
        <v>0</v>
      </c>
      <c r="D41" s="917">
        <v>2</v>
      </c>
      <c r="E41" s="918">
        <f>0.8*20</f>
        <v>16</v>
      </c>
      <c r="F41" s="913">
        <f t="shared" ref="F41:F44" si="40">(D41*20+E41)-(B41*20+C41)</f>
        <v>16</v>
      </c>
      <c r="G41" s="913">
        <v>25</v>
      </c>
      <c r="H41" s="919">
        <v>25</v>
      </c>
      <c r="I41" s="919">
        <v>19</v>
      </c>
      <c r="J41" s="919">
        <f t="shared" ref="J41:J44" si="41">L41+1</f>
        <v>4.5599999999999996</v>
      </c>
      <c r="K41" s="919">
        <v>5</v>
      </c>
      <c r="L41" s="919">
        <f>L35</f>
        <v>3.56</v>
      </c>
      <c r="M41" s="919">
        <v>1.8</v>
      </c>
      <c r="N41" s="913">
        <f t="shared" ref="N41:N44" si="42">F41*(H41)*L41-O41</f>
        <v>704</v>
      </c>
      <c r="O41" s="913">
        <f t="shared" ref="O41:O44" si="43">F41*G41*M41</f>
        <v>720</v>
      </c>
      <c r="P41" s="913">
        <f t="shared" ref="P41:P44" si="44">ROUND((O41+N41)*1.3*9.8,2)</f>
        <v>18141.759999999998</v>
      </c>
      <c r="Q41" s="913">
        <f t="shared" ref="Q41:Q44" si="45">F41*(H41)*0.5</f>
        <v>200</v>
      </c>
      <c r="R41" s="920">
        <f t="shared" ref="R41:R44" si="46">ROUND(Q41*1.3*30,2)</f>
        <v>7800</v>
      </c>
      <c r="S41" s="920">
        <f t="shared" ref="S41:S44" si="47">ROUND(Q41*1.3*7.4,2)</f>
        <v>1924</v>
      </c>
      <c r="T41" s="913">
        <f t="shared" ref="T41:T44" si="48">F41*H41*J41-Q41</f>
        <v>1624</v>
      </c>
      <c r="U41" s="920">
        <f t="shared" ref="U41:U44" si="49">ROUND(T41*1.3*30,2)</f>
        <v>63336</v>
      </c>
      <c r="V41" s="920">
        <f t="shared" ref="V41:V44" si="50">ROUND(T41*1.3*7.4,2)</f>
        <v>15622.88</v>
      </c>
      <c r="W41" s="913">
        <f t="shared" ref="W41:W44" si="51">F41*0.1*6*2</f>
        <v>19.2</v>
      </c>
      <c r="X41" s="919">
        <v>2.5</v>
      </c>
      <c r="Y41" s="919">
        <f t="shared" ref="Y41:Y44" si="52">SQRT(X41^2+X41^2)</f>
        <v>3.54</v>
      </c>
      <c r="Z41" s="919">
        <f t="shared" ref="Z41:Z45" si="53">Y41-(SQRT(0.2^2+((0.2*1.5)^2)))</f>
        <v>3.18</v>
      </c>
      <c r="AA41" s="919">
        <f>0.5*2*F41</f>
        <v>16</v>
      </c>
      <c r="AB41" s="919">
        <f>Z41*F41*2</f>
        <v>101.76</v>
      </c>
      <c r="AC41" s="919">
        <f>(Z41+(1-0.23+0.5+1))*F41*2</f>
        <v>174.4</v>
      </c>
      <c r="AD41" s="919">
        <f t="shared" ref="AD41:AD44" si="54">(AA41+AB41*0.23)*1.61216282493212</f>
        <v>63.53</v>
      </c>
      <c r="AE41" s="919">
        <f t="shared" ref="AE41:AE44" si="55">AA41+AB41*0.23</f>
        <v>39.4</v>
      </c>
      <c r="AF41" s="919">
        <f t="shared" ref="AF41:AF44" si="56">AE41*30</f>
        <v>1182</v>
      </c>
      <c r="AG41" s="919">
        <f t="shared" ref="AG41:AG44" si="57">AE41*(187-30)</f>
        <v>6185.8</v>
      </c>
      <c r="AH41" s="919">
        <f t="shared" ref="AH41:AH44" si="58">F41*(K41*2+Y41)</f>
        <v>216.64</v>
      </c>
    </row>
    <row r="42" spans="1:34" s="921" customFormat="1" ht="33" customHeight="1">
      <c r="A42" s="922"/>
      <c r="B42" s="917">
        <f t="shared" ref="B42:B43" si="59">D42-1</f>
        <v>1</v>
      </c>
      <c r="C42" s="918">
        <f t="shared" ref="C42:C44" si="60">E42</f>
        <v>0</v>
      </c>
      <c r="D42" s="917">
        <f t="shared" ref="D42:D44" si="61">B41</f>
        <v>2</v>
      </c>
      <c r="E42" s="918">
        <f t="shared" ref="E42:E44" si="62">C41</f>
        <v>0</v>
      </c>
      <c r="F42" s="913">
        <f t="shared" si="40"/>
        <v>20</v>
      </c>
      <c r="G42" s="913">
        <f t="shared" ref="G42:I42" si="63">G41</f>
        <v>25</v>
      </c>
      <c r="H42" s="919">
        <f t="shared" si="63"/>
        <v>25</v>
      </c>
      <c r="I42" s="919">
        <f t="shared" si="63"/>
        <v>19</v>
      </c>
      <c r="J42" s="919">
        <f t="shared" si="41"/>
        <v>4.5599999999999996</v>
      </c>
      <c r="K42" s="919">
        <f t="shared" ref="K42:L42" si="64">K41</f>
        <v>5</v>
      </c>
      <c r="L42" s="919">
        <f t="shared" si="64"/>
        <v>3.56</v>
      </c>
      <c r="M42" s="919">
        <v>1.8</v>
      </c>
      <c r="N42" s="913">
        <f t="shared" si="42"/>
        <v>880</v>
      </c>
      <c r="O42" s="913">
        <f t="shared" si="43"/>
        <v>900</v>
      </c>
      <c r="P42" s="913">
        <f t="shared" si="44"/>
        <v>22677.200000000001</v>
      </c>
      <c r="Q42" s="913">
        <f t="shared" si="45"/>
        <v>250</v>
      </c>
      <c r="R42" s="920">
        <f t="shared" si="46"/>
        <v>9750</v>
      </c>
      <c r="S42" s="920">
        <f t="shared" si="47"/>
        <v>2405</v>
      </c>
      <c r="T42" s="913">
        <f t="shared" si="48"/>
        <v>2030</v>
      </c>
      <c r="U42" s="920">
        <f t="shared" si="49"/>
        <v>79170</v>
      </c>
      <c r="V42" s="920">
        <f t="shared" si="50"/>
        <v>19528.599999999999</v>
      </c>
      <c r="W42" s="913">
        <f t="shared" si="51"/>
        <v>24</v>
      </c>
      <c r="X42" s="919">
        <v>2.5</v>
      </c>
      <c r="Y42" s="919">
        <f t="shared" si="52"/>
        <v>3.54</v>
      </c>
      <c r="Z42" s="919">
        <f t="shared" si="53"/>
        <v>3.18</v>
      </c>
      <c r="AA42" s="919">
        <f t="shared" ref="AA42:AA44" si="65">0.5*2*F42</f>
        <v>20</v>
      </c>
      <c r="AB42" s="919">
        <f t="shared" ref="AB42:AB44" si="66">Z42*F42*2</f>
        <v>127.2</v>
      </c>
      <c r="AC42" s="919">
        <f t="shared" ref="AC42:AC44" si="67">(Z42+(1-0.23+0.5+1))*F42*2</f>
        <v>218</v>
      </c>
      <c r="AD42" s="919">
        <f t="shared" si="54"/>
        <v>79.41</v>
      </c>
      <c r="AE42" s="919">
        <f t="shared" si="55"/>
        <v>49.26</v>
      </c>
      <c r="AF42" s="919">
        <f t="shared" si="56"/>
        <v>1477.8</v>
      </c>
      <c r="AG42" s="919">
        <f t="shared" si="57"/>
        <v>7733.82</v>
      </c>
      <c r="AH42" s="919">
        <f t="shared" si="58"/>
        <v>270.8</v>
      </c>
    </row>
    <row r="43" spans="1:34" s="921" customFormat="1" ht="33" customHeight="1">
      <c r="A43" s="922"/>
      <c r="B43" s="917">
        <f t="shared" si="59"/>
        <v>0</v>
      </c>
      <c r="C43" s="918">
        <f t="shared" si="60"/>
        <v>0</v>
      </c>
      <c r="D43" s="917">
        <f t="shared" si="61"/>
        <v>1</v>
      </c>
      <c r="E43" s="918">
        <f t="shared" si="62"/>
        <v>0</v>
      </c>
      <c r="F43" s="913">
        <f t="shared" si="40"/>
        <v>20</v>
      </c>
      <c r="G43" s="913">
        <f t="shared" ref="G43" si="68">G42</f>
        <v>25</v>
      </c>
      <c r="H43" s="919">
        <f>H42</f>
        <v>25</v>
      </c>
      <c r="I43" s="919">
        <f t="shared" ref="I43" si="69">I42</f>
        <v>19</v>
      </c>
      <c r="J43" s="919">
        <f t="shared" si="41"/>
        <v>4.5599999999999996</v>
      </c>
      <c r="K43" s="919">
        <f t="shared" ref="K43:L43" si="70">K42</f>
        <v>5</v>
      </c>
      <c r="L43" s="919">
        <f t="shared" si="70"/>
        <v>3.56</v>
      </c>
      <c r="M43" s="919">
        <v>1.8</v>
      </c>
      <c r="N43" s="913">
        <f t="shared" si="42"/>
        <v>880</v>
      </c>
      <c r="O43" s="913">
        <f t="shared" si="43"/>
        <v>900</v>
      </c>
      <c r="P43" s="913">
        <f t="shared" si="44"/>
        <v>22677.200000000001</v>
      </c>
      <c r="Q43" s="913">
        <f t="shared" si="45"/>
        <v>250</v>
      </c>
      <c r="R43" s="920">
        <f t="shared" si="46"/>
        <v>9750</v>
      </c>
      <c r="S43" s="920">
        <f t="shared" si="47"/>
        <v>2405</v>
      </c>
      <c r="T43" s="913">
        <f t="shared" si="48"/>
        <v>2030</v>
      </c>
      <c r="U43" s="920">
        <f t="shared" si="49"/>
        <v>79170</v>
      </c>
      <c r="V43" s="920">
        <f t="shared" si="50"/>
        <v>19528.599999999999</v>
      </c>
      <c r="W43" s="913">
        <f t="shared" si="51"/>
        <v>24</v>
      </c>
      <c r="X43" s="919">
        <v>2.5</v>
      </c>
      <c r="Y43" s="919">
        <f t="shared" si="52"/>
        <v>3.54</v>
      </c>
      <c r="Z43" s="919">
        <f t="shared" si="53"/>
        <v>3.18</v>
      </c>
      <c r="AA43" s="919">
        <f t="shared" si="65"/>
        <v>20</v>
      </c>
      <c r="AB43" s="919">
        <f t="shared" si="66"/>
        <v>127.2</v>
      </c>
      <c r="AC43" s="919">
        <f t="shared" si="67"/>
        <v>218</v>
      </c>
      <c r="AD43" s="919">
        <f t="shared" si="54"/>
        <v>79.41</v>
      </c>
      <c r="AE43" s="919">
        <f t="shared" si="55"/>
        <v>49.26</v>
      </c>
      <c r="AF43" s="919">
        <f t="shared" si="56"/>
        <v>1477.8</v>
      </c>
      <c r="AG43" s="919">
        <f t="shared" si="57"/>
        <v>7733.82</v>
      </c>
      <c r="AH43" s="919">
        <f t="shared" si="58"/>
        <v>270.8</v>
      </c>
    </row>
    <row r="44" spans="1:34" s="921" customFormat="1" ht="33" customHeight="1">
      <c r="A44" s="922"/>
      <c r="B44" s="917"/>
      <c r="C44" s="918">
        <f t="shared" si="60"/>
        <v>0</v>
      </c>
      <c r="D44" s="917">
        <f t="shared" si="61"/>
        <v>0</v>
      </c>
      <c r="E44" s="918">
        <f t="shared" si="62"/>
        <v>0</v>
      </c>
      <c r="F44" s="913">
        <f t="shared" si="40"/>
        <v>0</v>
      </c>
      <c r="G44" s="913">
        <f t="shared" ref="G44:I44" si="71">G43</f>
        <v>25</v>
      </c>
      <c r="H44" s="919">
        <f t="shared" si="71"/>
        <v>25</v>
      </c>
      <c r="I44" s="919">
        <f t="shared" si="71"/>
        <v>19</v>
      </c>
      <c r="J44" s="919">
        <f t="shared" si="41"/>
        <v>4.5599999999999996</v>
      </c>
      <c r="K44" s="919">
        <f t="shared" ref="K44:L44" si="72">K43</f>
        <v>5</v>
      </c>
      <c r="L44" s="919">
        <f t="shared" si="72"/>
        <v>3.56</v>
      </c>
      <c r="M44" s="919">
        <v>1.8</v>
      </c>
      <c r="N44" s="913">
        <f t="shared" si="42"/>
        <v>0</v>
      </c>
      <c r="O44" s="913">
        <f t="shared" si="43"/>
        <v>0</v>
      </c>
      <c r="P44" s="913">
        <f t="shared" si="44"/>
        <v>0</v>
      </c>
      <c r="Q44" s="913">
        <f t="shared" si="45"/>
        <v>0</v>
      </c>
      <c r="R44" s="920">
        <f t="shared" si="46"/>
        <v>0</v>
      </c>
      <c r="S44" s="920">
        <f t="shared" si="47"/>
        <v>0</v>
      </c>
      <c r="T44" s="913">
        <f t="shared" si="48"/>
        <v>0</v>
      </c>
      <c r="U44" s="920">
        <f t="shared" si="49"/>
        <v>0</v>
      </c>
      <c r="V44" s="920">
        <f t="shared" si="50"/>
        <v>0</v>
      </c>
      <c r="W44" s="913">
        <f t="shared" si="51"/>
        <v>0</v>
      </c>
      <c r="X44" s="919"/>
      <c r="Y44" s="919">
        <f t="shared" si="52"/>
        <v>0</v>
      </c>
      <c r="Z44" s="919">
        <f t="shared" si="53"/>
        <v>-0.36</v>
      </c>
      <c r="AA44" s="919">
        <f t="shared" si="65"/>
        <v>0</v>
      </c>
      <c r="AB44" s="919">
        <f t="shared" si="66"/>
        <v>0</v>
      </c>
      <c r="AC44" s="919">
        <f t="shared" si="67"/>
        <v>0</v>
      </c>
      <c r="AD44" s="919">
        <f t="shared" si="54"/>
        <v>0</v>
      </c>
      <c r="AE44" s="919">
        <f t="shared" si="55"/>
        <v>0</v>
      </c>
      <c r="AF44" s="919">
        <f t="shared" si="56"/>
        <v>0</v>
      </c>
      <c r="AG44" s="919">
        <f t="shared" si="57"/>
        <v>0</v>
      </c>
      <c r="AH44" s="919">
        <f t="shared" si="58"/>
        <v>0</v>
      </c>
    </row>
    <row r="45" spans="1:34" s="924" customFormat="1" ht="21.75" customHeight="1">
      <c r="A45" s="1721" t="s">
        <v>22</v>
      </c>
      <c r="B45" s="1721"/>
      <c r="C45" s="1721"/>
      <c r="D45" s="1721"/>
      <c r="E45" s="1721"/>
      <c r="F45" s="923">
        <f>SUM(F41:F44)</f>
        <v>56</v>
      </c>
      <c r="G45" s="923"/>
      <c r="H45" s="923"/>
      <c r="I45" s="923"/>
      <c r="J45" s="923"/>
      <c r="K45" s="923"/>
      <c r="L45" s="923"/>
      <c r="M45" s="923"/>
      <c r="N45" s="923">
        <f t="shared" ref="N45:W45" si="73">SUM(N41:N44)</f>
        <v>2464</v>
      </c>
      <c r="O45" s="923">
        <f t="shared" si="73"/>
        <v>2520</v>
      </c>
      <c r="P45" s="923">
        <f t="shared" si="73"/>
        <v>63496.160000000003</v>
      </c>
      <c r="Q45" s="923">
        <f t="shared" si="73"/>
        <v>700</v>
      </c>
      <c r="R45" s="923">
        <f t="shared" si="73"/>
        <v>27300</v>
      </c>
      <c r="S45" s="923">
        <f t="shared" si="73"/>
        <v>6734</v>
      </c>
      <c r="T45" s="923">
        <f t="shared" si="73"/>
        <v>5684</v>
      </c>
      <c r="U45" s="923">
        <f t="shared" si="73"/>
        <v>221676</v>
      </c>
      <c r="V45" s="923">
        <f t="shared" si="73"/>
        <v>54680.08</v>
      </c>
      <c r="W45" s="923">
        <f t="shared" si="73"/>
        <v>67.2</v>
      </c>
      <c r="X45" s="923"/>
      <c r="Y45" s="923">
        <f>SUM(Y41:Y44,Y13:Y28)</f>
        <v>67.260000000000005</v>
      </c>
      <c r="Z45" s="923">
        <f t="shared" si="53"/>
        <v>66.900000000000006</v>
      </c>
      <c r="AA45" s="923">
        <f t="shared" ref="AA45:AH45" si="74">SUM(AA41:AA44)</f>
        <v>56</v>
      </c>
      <c r="AB45" s="923">
        <f t="shared" si="74"/>
        <v>356.16</v>
      </c>
      <c r="AC45" s="923">
        <f t="shared" si="74"/>
        <v>610.4</v>
      </c>
      <c r="AD45" s="923">
        <f t="shared" si="74"/>
        <v>222.35</v>
      </c>
      <c r="AE45" s="923">
        <f t="shared" si="74"/>
        <v>137.91999999999999</v>
      </c>
      <c r="AF45" s="923">
        <f t="shared" si="74"/>
        <v>4137.6000000000004</v>
      </c>
      <c r="AG45" s="923">
        <f t="shared" si="74"/>
        <v>21653.439999999999</v>
      </c>
      <c r="AH45" s="923">
        <f t="shared" si="74"/>
        <v>758.24</v>
      </c>
    </row>
    <row r="46" spans="1:34" s="924" customFormat="1" ht="21.75" customHeight="1">
      <c r="A46" s="1721" t="s">
        <v>22</v>
      </c>
      <c r="B46" s="1721"/>
      <c r="C46" s="1721"/>
      <c r="D46" s="1721"/>
      <c r="E46" s="1721"/>
      <c r="F46" s="923">
        <f>F45+F40</f>
        <v>376</v>
      </c>
      <c r="G46" s="923"/>
      <c r="H46" s="923"/>
      <c r="I46" s="923"/>
      <c r="J46" s="923"/>
      <c r="K46" s="923"/>
      <c r="L46" s="923"/>
      <c r="M46" s="923"/>
      <c r="N46" s="923">
        <f t="shared" ref="N46:W46" si="75">N45+N40</f>
        <v>5833.28</v>
      </c>
      <c r="O46" s="923">
        <f t="shared" si="75"/>
        <v>4824</v>
      </c>
      <c r="P46" s="923">
        <f t="shared" si="75"/>
        <v>135773.76000000001</v>
      </c>
      <c r="Q46" s="923">
        <f t="shared" si="75"/>
        <v>1496.8</v>
      </c>
      <c r="R46" s="923">
        <f t="shared" si="75"/>
        <v>58375.199999999997</v>
      </c>
      <c r="S46" s="923">
        <f t="shared" si="75"/>
        <v>14399.28</v>
      </c>
      <c r="T46" s="923">
        <f t="shared" si="75"/>
        <v>12154.08</v>
      </c>
      <c r="U46" s="923">
        <f t="shared" si="75"/>
        <v>474009.12</v>
      </c>
      <c r="V46" s="923">
        <f t="shared" si="75"/>
        <v>116922.32</v>
      </c>
      <c r="W46" s="923">
        <f t="shared" si="75"/>
        <v>451.2</v>
      </c>
      <c r="X46" s="923"/>
      <c r="Y46" s="923"/>
      <c r="Z46" s="923"/>
      <c r="AA46" s="923"/>
      <c r="AB46" s="923"/>
      <c r="AC46" s="923">
        <f>AC45+AC40</f>
        <v>4098.3999999999996</v>
      </c>
      <c r="AD46" s="923">
        <f t="shared" ref="AD46:AE46" si="76">AD45+AD40</f>
        <v>285.87</v>
      </c>
      <c r="AE46" s="923">
        <f t="shared" si="76"/>
        <v>177.28</v>
      </c>
      <c r="AF46" s="923">
        <f t="shared" ref="AF46" si="77">AF45+AF40</f>
        <v>5318.4</v>
      </c>
      <c r="AG46" s="923">
        <f t="shared" ref="AG46" si="78">AG45+AG40</f>
        <v>27832.959999999999</v>
      </c>
      <c r="AH46" s="923">
        <f t="shared" ref="AH46" si="79">AH45+AH40</f>
        <v>8291.0400000000009</v>
      </c>
    </row>
    <row r="47" spans="1:34">
      <c r="F47" s="1540"/>
      <c r="N47" s="1540"/>
      <c r="O47" s="1540"/>
      <c r="P47" s="1540"/>
      <c r="Q47" s="1540"/>
      <c r="R47" s="1540"/>
      <c r="S47" s="1540"/>
      <c r="T47" s="1540"/>
      <c r="U47" s="1540"/>
      <c r="V47" s="1540"/>
      <c r="W47" s="1540"/>
      <c r="AC47" s="1540"/>
      <c r="AD47" s="1540"/>
    </row>
  </sheetData>
  <mergeCells count="40">
    <mergeCell ref="B10:E10"/>
    <mergeCell ref="A40:E40"/>
    <mergeCell ref="A45:E45"/>
    <mergeCell ref="A46:E46"/>
    <mergeCell ref="AD7:AD8"/>
    <mergeCell ref="N7:O7"/>
    <mergeCell ref="P7:P8"/>
    <mergeCell ref="AC7:AC8"/>
    <mergeCell ref="I7:I8"/>
    <mergeCell ref="U7:U8"/>
    <mergeCell ref="V7:V8"/>
    <mergeCell ref="J7:J8"/>
    <mergeCell ref="K7:K8"/>
    <mergeCell ref="A7:A9"/>
    <mergeCell ref="B7:E8"/>
    <mergeCell ref="F7:F8"/>
    <mergeCell ref="B9:C9"/>
    <mergeCell ref="D9:E9"/>
    <mergeCell ref="W7:W8"/>
    <mergeCell ref="X7:X8"/>
    <mergeCell ref="Y7:Y8"/>
    <mergeCell ref="Q7:Q8"/>
    <mergeCell ref="R7:R8"/>
    <mergeCell ref="S7:S8"/>
    <mergeCell ref="T7:T8"/>
    <mergeCell ref="L7:L8"/>
    <mergeCell ref="M7:M8"/>
    <mergeCell ref="G7:G8"/>
    <mergeCell ref="H7:H8"/>
    <mergeCell ref="B1:AD1"/>
    <mergeCell ref="A2:AG2"/>
    <mergeCell ref="A3:AG3"/>
    <mergeCell ref="A4:U4"/>
    <mergeCell ref="A5:W6"/>
    <mergeCell ref="X5:AG6"/>
    <mergeCell ref="AE7:AE8"/>
    <mergeCell ref="AF7:AG7"/>
    <mergeCell ref="Z7:Z8"/>
    <mergeCell ref="AA7:AA8"/>
    <mergeCell ref="AB7:AB8"/>
  </mergeCells>
  <printOptions horizontalCentered="1"/>
  <pageMargins left="0.11811023622047245" right="0.11811023622047245" top="0.51181102362204722" bottom="0.55118110236220474" header="0.31496062992125984" footer="0.31496062992125984"/>
  <pageSetup paperSize="9" scale="2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V472"/>
  <sheetViews>
    <sheetView view="pageBreakPreview" zoomScale="25" zoomScaleNormal="25" zoomScaleSheetLayoutView="25" workbookViewId="0">
      <pane xSplit="4" ySplit="17" topLeftCell="U18" activePane="bottomRight" state="frozen"/>
      <selection activeCell="H289" sqref="H289"/>
      <selection pane="topRight" activeCell="H289" sqref="H289"/>
      <selection pane="bottomLeft" activeCell="H289" sqref="H289"/>
      <selection pane="bottomRight" activeCell="M59" sqref="M59"/>
    </sheetView>
  </sheetViews>
  <sheetFormatPr defaultColWidth="9.28515625" defaultRowHeight="30.75"/>
  <cols>
    <col min="1" max="1" width="19" style="331" bestFit="1" customWidth="1"/>
    <col min="2" max="2" width="56.7109375" style="378" customWidth="1"/>
    <col min="3" max="3" width="42.7109375" style="378" customWidth="1"/>
    <col min="4" max="4" width="38" style="378" customWidth="1"/>
    <col min="5" max="8" width="44.7109375" style="378" customWidth="1"/>
    <col min="9" max="9" width="65.7109375" style="378" customWidth="1"/>
    <col min="10" max="19" width="44.7109375" style="378" customWidth="1"/>
    <col min="20" max="20" width="44.140625" style="378" customWidth="1"/>
    <col min="21" max="21" width="44.7109375" style="378" customWidth="1"/>
    <col min="22" max="22" width="48.7109375" style="378" customWidth="1"/>
    <col min="23" max="23" width="44.7109375" style="378" customWidth="1"/>
    <col min="24" max="24" width="35.7109375" style="378" customWidth="1"/>
    <col min="25" max="25" width="9.28515625" style="331"/>
    <col min="26" max="26" width="15.7109375" style="331" customWidth="1"/>
    <col min="27" max="27" width="19" style="331" customWidth="1"/>
    <col min="28" max="28" width="21.7109375" style="331" customWidth="1"/>
    <col min="29" max="29" width="21.7109375" style="331" bestFit="1" customWidth="1"/>
    <col min="30" max="30" width="21.7109375" style="331" customWidth="1"/>
    <col min="31" max="31" width="15.7109375" style="331" customWidth="1"/>
    <col min="32" max="32" width="9.28515625" style="331"/>
    <col min="33" max="33" width="18.42578125" style="331" bestFit="1" customWidth="1"/>
    <col min="34" max="35" width="19" style="331" bestFit="1" customWidth="1"/>
    <col min="36" max="36" width="20.28515625" style="331" bestFit="1" customWidth="1"/>
    <col min="37" max="37" width="27.7109375" style="331" bestFit="1" customWidth="1"/>
    <col min="38" max="38" width="9.28515625" style="331"/>
    <col min="39" max="39" width="18.42578125" style="331" bestFit="1" customWidth="1"/>
    <col min="40" max="40" width="16.7109375" style="331" bestFit="1" customWidth="1"/>
    <col min="41" max="41" width="21.7109375" style="331" bestFit="1" customWidth="1"/>
    <col min="42" max="42" width="16.7109375" style="331" bestFit="1" customWidth="1"/>
    <col min="43" max="43" width="16.7109375" style="331" customWidth="1"/>
    <col min="44" max="44" width="18.7109375" style="331" customWidth="1"/>
    <col min="45" max="47" width="16.7109375" style="331" customWidth="1"/>
    <col min="48" max="48" width="30.7109375" style="331" bestFit="1" customWidth="1"/>
    <col min="49" max="16384" width="9.28515625" style="331"/>
  </cols>
  <sheetData>
    <row r="1" spans="1:37" ht="40.15" customHeight="1">
      <c r="A1" s="417"/>
      <c r="B1" s="418"/>
      <c r="C1" s="418"/>
      <c r="D1" s="418"/>
      <c r="E1" s="418"/>
      <c r="F1" s="418"/>
      <c r="G1" s="418"/>
      <c r="H1" s="418"/>
      <c r="I1" s="418"/>
      <c r="J1" s="418"/>
      <c r="K1" s="418"/>
      <c r="L1" s="418"/>
      <c r="M1" s="418"/>
      <c r="N1" s="418"/>
      <c r="O1" s="418"/>
      <c r="P1" s="418"/>
      <c r="Q1" s="418"/>
      <c r="R1" s="418"/>
      <c r="S1" s="418"/>
      <c r="T1" s="418"/>
      <c r="U1" s="418"/>
      <c r="V1" s="418"/>
      <c r="W1" s="418"/>
      <c r="X1" s="419"/>
    </row>
    <row r="2" spans="1:37" ht="40.15" customHeight="1">
      <c r="A2" s="1655"/>
      <c r="B2" s="1656"/>
      <c r="C2" s="1656"/>
      <c r="D2" s="1656"/>
      <c r="E2" s="1656"/>
      <c r="F2" s="1656"/>
      <c r="G2" s="1656"/>
      <c r="H2" s="1656"/>
      <c r="I2" s="1656"/>
      <c r="J2" s="1656"/>
      <c r="K2" s="1656"/>
      <c r="L2" s="1656"/>
      <c r="M2" s="1656"/>
      <c r="N2" s="1656"/>
      <c r="O2" s="1656"/>
      <c r="P2" s="1656"/>
      <c r="Q2" s="1656"/>
      <c r="R2" s="1656"/>
      <c r="S2" s="1656"/>
      <c r="T2" s="1656"/>
      <c r="U2" s="1656"/>
      <c r="V2" s="1656"/>
      <c r="W2" s="1656"/>
      <c r="X2" s="1657"/>
    </row>
    <row r="3" spans="1:37" ht="40.15" customHeight="1">
      <c r="A3" s="1658"/>
      <c r="B3" s="1659"/>
      <c r="C3" s="1659"/>
      <c r="D3" s="1659"/>
      <c r="E3" s="1659"/>
      <c r="F3" s="1659"/>
      <c r="G3" s="1659"/>
      <c r="H3" s="1659"/>
      <c r="I3" s="1659"/>
      <c r="J3" s="1659"/>
      <c r="K3" s="1659"/>
      <c r="L3" s="1659"/>
      <c r="M3" s="1659"/>
      <c r="N3" s="1659"/>
      <c r="O3" s="1659"/>
      <c r="P3" s="1659"/>
      <c r="Q3" s="1659"/>
      <c r="R3" s="1659"/>
      <c r="S3" s="1659"/>
      <c r="T3" s="1659"/>
      <c r="U3" s="1659"/>
      <c r="V3" s="1659"/>
      <c r="W3" s="1659"/>
      <c r="X3" s="1660"/>
    </row>
    <row r="4" spans="1:37" ht="40.15" customHeight="1">
      <c r="A4" s="1658"/>
      <c r="B4" s="1659"/>
      <c r="C4" s="1659"/>
      <c r="D4" s="1659"/>
      <c r="E4" s="1659"/>
      <c r="F4" s="1659"/>
      <c r="G4" s="1659"/>
      <c r="H4" s="1659"/>
      <c r="I4" s="1659"/>
      <c r="J4" s="1659"/>
      <c r="K4" s="1659"/>
      <c r="L4" s="1659"/>
      <c r="M4" s="1659"/>
      <c r="N4" s="1659"/>
      <c r="O4" s="1659"/>
      <c r="P4" s="1659"/>
      <c r="Q4" s="1659"/>
      <c r="R4" s="1659"/>
      <c r="S4" s="1659"/>
      <c r="T4" s="1659"/>
      <c r="U4" s="1659"/>
      <c r="V4" s="1659"/>
      <c r="W4" s="1659"/>
      <c r="X4" s="1660"/>
    </row>
    <row r="5" spans="1:37" ht="40.15" customHeight="1">
      <c r="A5" s="1655" t="s">
        <v>18</v>
      </c>
      <c r="B5" s="1656"/>
      <c r="C5" s="1656"/>
      <c r="D5" s="1656"/>
      <c r="E5" s="1656"/>
      <c r="F5" s="1656"/>
      <c r="G5" s="1656"/>
      <c r="H5" s="1656"/>
      <c r="I5" s="1656"/>
      <c r="J5" s="1656"/>
      <c r="K5" s="1656"/>
      <c r="L5" s="1656"/>
      <c r="M5" s="1656"/>
      <c r="N5" s="1656"/>
      <c r="O5" s="1656"/>
      <c r="P5" s="1656"/>
      <c r="Q5" s="1656"/>
      <c r="R5" s="1656"/>
      <c r="S5" s="1656"/>
      <c r="T5" s="1656"/>
      <c r="U5" s="1656"/>
      <c r="V5" s="1656"/>
      <c r="W5" s="1656"/>
      <c r="X5" s="1657"/>
    </row>
    <row r="6" spans="1:37" ht="40.15" customHeight="1">
      <c r="A6" s="1658" t="s">
        <v>187</v>
      </c>
      <c r="B6" s="1659"/>
      <c r="C6" s="1659"/>
      <c r="D6" s="1659"/>
      <c r="E6" s="1659"/>
      <c r="F6" s="1659"/>
      <c r="G6" s="1659"/>
      <c r="H6" s="1659"/>
      <c r="I6" s="1659"/>
      <c r="J6" s="1659"/>
      <c r="K6" s="1659"/>
      <c r="L6" s="1659"/>
      <c r="M6" s="1659"/>
      <c r="N6" s="1659"/>
      <c r="O6" s="1659"/>
      <c r="P6" s="1659"/>
      <c r="Q6" s="1659"/>
      <c r="R6" s="1659"/>
      <c r="S6" s="1659"/>
      <c r="T6" s="1659"/>
      <c r="U6" s="1659"/>
      <c r="V6" s="1659"/>
      <c r="W6" s="1659"/>
      <c r="X6" s="1660"/>
    </row>
    <row r="7" spans="1:37" ht="39.75" customHeight="1">
      <c r="A7" s="1658" t="s">
        <v>17</v>
      </c>
      <c r="B7" s="1659"/>
      <c r="C7" s="1659"/>
      <c r="D7" s="1659"/>
      <c r="E7" s="1659"/>
      <c r="F7" s="1659"/>
      <c r="G7" s="1659"/>
      <c r="H7" s="1659"/>
      <c r="I7" s="1659"/>
      <c r="J7" s="1659"/>
      <c r="K7" s="1659"/>
      <c r="L7" s="1659"/>
      <c r="M7" s="1659"/>
      <c r="N7" s="1659"/>
      <c r="O7" s="1659"/>
      <c r="P7" s="1659"/>
      <c r="Q7" s="1659"/>
      <c r="R7" s="1659"/>
      <c r="S7" s="1659"/>
      <c r="T7" s="1659"/>
      <c r="U7" s="1659"/>
      <c r="V7" s="1659"/>
      <c r="W7" s="1659"/>
      <c r="X7" s="1660"/>
    </row>
    <row r="8" spans="1:37" ht="39.75" customHeight="1">
      <c r="A8" s="420"/>
      <c r="B8" s="421"/>
      <c r="C8" s="421"/>
      <c r="D8" s="421"/>
      <c r="E8" s="421"/>
      <c r="F8" s="421"/>
      <c r="G8" s="421"/>
      <c r="H8" s="421"/>
      <c r="I8" s="421"/>
      <c r="J8" s="421"/>
      <c r="K8" s="421"/>
      <c r="L8" s="421"/>
      <c r="M8" s="421"/>
      <c r="N8" s="421"/>
      <c r="O8" s="421"/>
      <c r="P8" s="421"/>
      <c r="Q8" s="421"/>
      <c r="R8" s="421"/>
      <c r="S8" s="421"/>
      <c r="T8" s="421"/>
      <c r="U8" s="421"/>
      <c r="V8" s="421"/>
      <c r="W8" s="421"/>
      <c r="X8" s="422"/>
    </row>
    <row r="9" spans="1:37" ht="55.15" customHeight="1">
      <c r="A9" s="437"/>
      <c r="B9" s="423" t="s">
        <v>567</v>
      </c>
      <c r="C9" s="1661" t="str">
        <f>'PLANILHA GERAL'!D9</f>
        <v>OBRAS DE PREVENÇÕES DE ALAGAMENTOS E CHEIAS, INFRAESTRUTURA URBANA E CONSTRUÇÕES DIVERSAS NO MUNICÍPIO DE ANANINDEUA/PA</v>
      </c>
      <c r="D9" s="1662"/>
      <c r="E9" s="1662"/>
      <c r="F9" s="1662"/>
      <c r="G9" s="1662"/>
      <c r="H9" s="1662"/>
      <c r="I9" s="1662"/>
      <c r="J9" s="1662"/>
      <c r="K9" s="1662"/>
      <c r="L9" s="1662"/>
      <c r="M9" s="1662"/>
      <c r="N9" s="1662"/>
      <c r="O9" s="1662"/>
      <c r="P9" s="1662"/>
      <c r="Q9" s="1662"/>
      <c r="R9" s="1662"/>
      <c r="S9" s="1662"/>
      <c r="T9" s="1662"/>
      <c r="U9" s="1662"/>
      <c r="V9" s="1662"/>
      <c r="W9" s="1662"/>
      <c r="X9" s="1663"/>
    </row>
    <row r="10" spans="1:37" ht="40.15" customHeight="1" thickBot="1">
      <c r="A10" s="424"/>
      <c r="B10" s="425"/>
      <c r="C10" s="425"/>
      <c r="D10" s="425"/>
      <c r="E10" s="425"/>
      <c r="F10" s="425"/>
      <c r="G10" s="425"/>
      <c r="H10" s="425"/>
      <c r="I10" s="425"/>
      <c r="J10" s="425"/>
      <c r="K10" s="425"/>
      <c r="L10" s="425"/>
      <c r="M10" s="425"/>
      <c r="N10" s="425"/>
      <c r="O10" s="425"/>
      <c r="P10" s="425"/>
      <c r="Q10" s="425"/>
      <c r="R10" s="425"/>
      <c r="S10" s="425"/>
      <c r="T10" s="425"/>
      <c r="U10" s="425"/>
      <c r="V10" s="425"/>
      <c r="W10" s="425"/>
      <c r="X10" s="426"/>
    </row>
    <row r="11" spans="1:37" s="379" customFormat="1" ht="78.75" customHeight="1" thickTop="1" thickBot="1">
      <c r="A11" s="1666" t="s">
        <v>348</v>
      </c>
      <c r="B11" s="1667"/>
      <c r="C11" s="1667"/>
      <c r="D11" s="1667"/>
      <c r="E11" s="1667"/>
      <c r="F11" s="1667"/>
      <c r="G11" s="1667"/>
      <c r="H11" s="1667"/>
      <c r="I11" s="1667"/>
      <c r="J11" s="1667"/>
      <c r="K11" s="1667"/>
      <c r="L11" s="1667"/>
      <c r="M11" s="1667"/>
      <c r="N11" s="1667"/>
      <c r="O11" s="1667"/>
      <c r="P11" s="1667"/>
      <c r="Q11" s="1667"/>
      <c r="R11" s="1667"/>
      <c r="S11" s="1667"/>
      <c r="T11" s="1667"/>
      <c r="U11" s="1667"/>
      <c r="V11" s="1667"/>
      <c r="W11" s="1667"/>
      <c r="X11" s="1668"/>
    </row>
    <row r="12" spans="1:37" ht="27.75" customHeight="1" thickTop="1" thickBot="1">
      <c r="A12" s="1644"/>
      <c r="B12" s="1645"/>
      <c r="C12" s="1645"/>
      <c r="D12" s="1645"/>
      <c r="E12" s="1645"/>
      <c r="F12" s="1645"/>
      <c r="G12" s="1645"/>
      <c r="H12" s="1645"/>
      <c r="I12" s="1645"/>
      <c r="J12" s="1645"/>
      <c r="K12" s="1645"/>
      <c r="L12" s="1645"/>
      <c r="M12" s="1645"/>
      <c r="N12" s="1645"/>
      <c r="O12" s="1645"/>
      <c r="P12" s="1645"/>
      <c r="Q12" s="1645"/>
      <c r="R12" s="1645"/>
      <c r="S12" s="1645"/>
      <c r="T12" s="1645"/>
      <c r="U12" s="1635"/>
      <c r="V12" s="1645"/>
      <c r="W12" s="1645"/>
      <c r="X12" s="1646"/>
    </row>
    <row r="13" spans="1:37" ht="90.75" customHeight="1">
      <c r="A13" s="1735" t="s">
        <v>331</v>
      </c>
      <c r="B13" s="1736"/>
      <c r="C13" s="1727" t="s">
        <v>340</v>
      </c>
      <c r="D13" s="1729" t="s">
        <v>338</v>
      </c>
      <c r="E13" s="1725" t="s">
        <v>342</v>
      </c>
      <c r="F13" s="1725"/>
      <c r="G13" s="1726"/>
      <c r="H13" s="1725"/>
      <c r="I13" s="1737" t="s">
        <v>422</v>
      </c>
      <c r="J13" s="1737"/>
      <c r="K13" s="1737"/>
      <c r="L13" s="483" t="s">
        <v>423</v>
      </c>
      <c r="M13" s="1725" t="s">
        <v>334</v>
      </c>
      <c r="N13" s="1725"/>
      <c r="O13" s="1725"/>
      <c r="P13" s="1725"/>
      <c r="Q13" s="1725"/>
      <c r="R13" s="1738" t="s">
        <v>644</v>
      </c>
      <c r="S13" s="1738"/>
      <c r="T13" s="1738"/>
      <c r="U13" s="1747" t="s">
        <v>590</v>
      </c>
      <c r="V13" s="1741" t="s">
        <v>438</v>
      </c>
      <c r="W13" s="1739" t="s">
        <v>625</v>
      </c>
      <c r="X13" s="1744" t="s">
        <v>10</v>
      </c>
    </row>
    <row r="14" spans="1:37" ht="134.25" customHeight="1">
      <c r="A14" s="1735"/>
      <c r="B14" s="1736"/>
      <c r="C14" s="1727"/>
      <c r="D14" s="1729"/>
      <c r="E14" s="477" t="s">
        <v>338</v>
      </c>
      <c r="F14" s="477" t="s">
        <v>339</v>
      </c>
      <c r="G14" s="477" t="s">
        <v>580</v>
      </c>
      <c r="H14" s="477" t="s">
        <v>341</v>
      </c>
      <c r="I14" s="484" t="s">
        <v>344</v>
      </c>
      <c r="J14" s="482" t="s">
        <v>616</v>
      </c>
      <c r="K14" s="482" t="s">
        <v>615</v>
      </c>
      <c r="L14" s="477" t="s">
        <v>424</v>
      </c>
      <c r="M14" s="485" t="s">
        <v>346</v>
      </c>
      <c r="N14" s="485" t="s">
        <v>347</v>
      </c>
      <c r="O14" s="485" t="s">
        <v>337</v>
      </c>
      <c r="P14" s="485" t="s">
        <v>531</v>
      </c>
      <c r="Q14" s="485" t="s">
        <v>335</v>
      </c>
      <c r="R14" s="481" t="s">
        <v>645</v>
      </c>
      <c r="S14" s="482" t="s">
        <v>1837</v>
      </c>
      <c r="T14" s="482" t="s">
        <v>1836</v>
      </c>
      <c r="U14" s="1748"/>
      <c r="V14" s="1742"/>
      <c r="W14" s="1740"/>
      <c r="X14" s="1745"/>
    </row>
    <row r="15" spans="1:37" ht="81.75" customHeight="1">
      <c r="A15" s="1731" t="s">
        <v>6</v>
      </c>
      <c r="B15" s="1733" t="s">
        <v>336</v>
      </c>
      <c r="C15" s="1728"/>
      <c r="D15" s="1730"/>
      <c r="E15" s="477"/>
      <c r="F15" s="486">
        <v>0.1</v>
      </c>
      <c r="G15" s="486"/>
      <c r="H15" s="608">
        <v>0.5</v>
      </c>
      <c r="I15" s="484"/>
      <c r="J15" s="487"/>
      <c r="K15" s="482"/>
      <c r="L15" s="477"/>
      <c r="M15" s="484">
        <v>5</v>
      </c>
      <c r="N15" s="477"/>
      <c r="O15" s="477"/>
      <c r="P15" s="486"/>
      <c r="Q15" s="488">
        <v>25</v>
      </c>
      <c r="R15" s="620">
        <v>0.21</v>
      </c>
      <c r="S15" s="1432">
        <v>0.02</v>
      </c>
      <c r="T15" s="478">
        <v>0.19</v>
      </c>
      <c r="U15" s="621">
        <v>0.1</v>
      </c>
      <c r="V15" s="1743"/>
      <c r="W15" s="488">
        <v>9.8000000000000007</v>
      </c>
      <c r="X15" s="1746"/>
    </row>
    <row r="16" spans="1:37" ht="102.75" customHeight="1" thickBot="1">
      <c r="A16" s="1732"/>
      <c r="B16" s="1734"/>
      <c r="C16" s="489" t="s">
        <v>50</v>
      </c>
      <c r="D16" s="490" t="s">
        <v>53</v>
      </c>
      <c r="E16" s="491" t="s">
        <v>14</v>
      </c>
      <c r="F16" s="491" t="s">
        <v>343</v>
      </c>
      <c r="G16" s="491" t="s">
        <v>591</v>
      </c>
      <c r="H16" s="492" t="s">
        <v>592</v>
      </c>
      <c r="I16" s="493" t="s">
        <v>593</v>
      </c>
      <c r="J16" s="494" t="s">
        <v>594</v>
      </c>
      <c r="K16" s="495" t="s">
        <v>617</v>
      </c>
      <c r="L16" s="492" t="s">
        <v>618</v>
      </c>
      <c r="M16" s="496" t="s">
        <v>595</v>
      </c>
      <c r="N16" s="492" t="s">
        <v>619</v>
      </c>
      <c r="O16" s="492" t="s">
        <v>504</v>
      </c>
      <c r="P16" s="492" t="s">
        <v>620</v>
      </c>
      <c r="Q16" s="497" t="s">
        <v>621</v>
      </c>
      <c r="R16" s="479" t="s">
        <v>646</v>
      </c>
      <c r="S16" s="480" t="s">
        <v>647</v>
      </c>
      <c r="T16" s="480" t="s">
        <v>647</v>
      </c>
      <c r="U16" s="499" t="s">
        <v>596</v>
      </c>
      <c r="V16" s="492" t="s">
        <v>648</v>
      </c>
      <c r="W16" s="495" t="s">
        <v>649</v>
      </c>
      <c r="X16" s="498" t="s">
        <v>622</v>
      </c>
      <c r="AA16" s="1722" t="s">
        <v>488</v>
      </c>
      <c r="AB16" s="1722"/>
      <c r="AC16" s="1722"/>
      <c r="AD16" s="1722"/>
      <c r="AE16" s="1722"/>
      <c r="AG16" s="1722" t="s">
        <v>492</v>
      </c>
      <c r="AH16" s="1722"/>
      <c r="AI16" s="1722"/>
      <c r="AJ16" s="1722"/>
      <c r="AK16" s="1722"/>
    </row>
    <row r="17" spans="1:48" ht="73.5" customHeight="1" thickTop="1" thickBot="1">
      <c r="A17" s="374"/>
      <c r="B17" s="375"/>
      <c r="C17" s="375"/>
      <c r="D17" s="375"/>
      <c r="E17" s="375"/>
      <c r="F17" s="375"/>
      <c r="G17" s="375"/>
      <c r="H17" s="375"/>
      <c r="I17" s="375"/>
      <c r="J17" s="375"/>
      <c r="K17" s="375"/>
      <c r="L17" s="375"/>
      <c r="M17" s="375"/>
      <c r="N17" s="375"/>
      <c r="O17" s="375"/>
      <c r="P17" s="375"/>
      <c r="Q17" s="375"/>
      <c r="R17" s="375"/>
      <c r="S17" s="375"/>
      <c r="T17" s="375"/>
      <c r="U17" s="375"/>
      <c r="V17" s="375"/>
      <c r="W17" s="375"/>
      <c r="X17" s="380"/>
      <c r="Z17" s="376"/>
      <c r="AA17" s="360" t="s">
        <v>489</v>
      </c>
      <c r="AB17" s="360" t="s">
        <v>488</v>
      </c>
      <c r="AC17" s="360" t="s">
        <v>490</v>
      </c>
      <c r="AD17" s="360" t="s">
        <v>467</v>
      </c>
      <c r="AE17" s="360" t="s">
        <v>22</v>
      </c>
      <c r="AG17" s="360" t="s">
        <v>475</v>
      </c>
      <c r="AH17" s="360" t="s">
        <v>491</v>
      </c>
      <c r="AI17" s="360" t="s">
        <v>492</v>
      </c>
      <c r="AJ17" s="360" t="s">
        <v>490</v>
      </c>
      <c r="AK17" s="360" t="s">
        <v>22</v>
      </c>
      <c r="AM17" s="381" t="str">
        <f>M14</f>
        <v>IMPRIMAÇAO (m²)</v>
      </c>
      <c r="AN17" s="381" t="str">
        <f>N14</f>
        <v>PINT. LIG.  (m²)</v>
      </c>
      <c r="AO17" s="381" t="str">
        <f>P14</f>
        <v>CBUQ (m³)</v>
      </c>
      <c r="AP17" s="381" t="str">
        <f>Q14</f>
        <v>TRANSPORTE CBUQ</v>
      </c>
      <c r="AQ17" s="381" t="s">
        <v>655</v>
      </c>
      <c r="AR17" s="381" t="s">
        <v>656</v>
      </c>
      <c r="AS17" s="381" t="s">
        <v>489</v>
      </c>
      <c r="AT17" s="381" t="s">
        <v>658</v>
      </c>
      <c r="AU17" s="381" t="s">
        <v>657</v>
      </c>
      <c r="AV17" s="360" t="s">
        <v>22</v>
      </c>
    </row>
    <row r="18" spans="1:48" ht="154.5" customHeight="1" thickTop="1">
      <c r="A18" s="470">
        <f>DADOS!A12</f>
        <v>1</v>
      </c>
      <c r="B18" s="471" t="s">
        <v>1925</v>
      </c>
      <c r="C18" s="472">
        <f>5500*2</f>
        <v>11000</v>
      </c>
      <c r="D18" s="473">
        <v>7</v>
      </c>
      <c r="E18" s="473">
        <v>0</v>
      </c>
      <c r="F18" s="473">
        <f>H18*$F$15</f>
        <v>0</v>
      </c>
      <c r="G18" s="473">
        <f>F18*70%</f>
        <v>0</v>
      </c>
      <c r="H18" s="473">
        <f>C18*E18*2*$H$15</f>
        <v>0</v>
      </c>
      <c r="I18" s="473">
        <f>K18*0.43*0.1</f>
        <v>189.2</v>
      </c>
      <c r="J18" s="473">
        <f>C18*20%*2</f>
        <v>4400</v>
      </c>
      <c r="K18" s="1355">
        <f>C18*20%*2</f>
        <v>4400</v>
      </c>
      <c r="L18" s="473">
        <f>F18+I18</f>
        <v>189.2</v>
      </c>
      <c r="M18" s="473"/>
      <c r="N18" s="473">
        <f>C18*(D18-0.43*2+0.1*2)</f>
        <v>69740</v>
      </c>
      <c r="O18" s="500">
        <v>3.5000000000000003E-2</v>
      </c>
      <c r="P18" s="473">
        <f>N18*O18</f>
        <v>2440.9</v>
      </c>
      <c r="Q18" s="474">
        <f>P18*$Q$15</f>
        <v>61022.5</v>
      </c>
      <c r="R18" s="474">
        <f>N18*$R$15</f>
        <v>14645.4</v>
      </c>
      <c r="S18" s="474">
        <f>N18*0.7*$S$15</f>
        <v>976.36</v>
      </c>
      <c r="T18" s="474">
        <f>N18*0.7*$T$15</f>
        <v>9275.42</v>
      </c>
      <c r="U18" s="474">
        <f>N18*$U$15</f>
        <v>6974</v>
      </c>
      <c r="V18" s="473">
        <f>(R18+U18)*0.05+T18</f>
        <v>10356.39</v>
      </c>
      <c r="W18" s="473">
        <f>V18*1.3*$W$15</f>
        <v>131940.41</v>
      </c>
      <c r="X18" s="475">
        <v>14039.27</v>
      </c>
      <c r="Z18" s="377">
        <f t="shared" ref="Z18:Z51" si="0">A18</f>
        <v>1</v>
      </c>
      <c r="AA18" s="348">
        <f>'PLANILHA GERAL'!$J$25</f>
        <v>371.29</v>
      </c>
      <c r="AB18" s="348">
        <f>'PLANILHA GERAL'!$J$44</f>
        <v>113.04</v>
      </c>
      <c r="AC18" s="348">
        <f>'PLANILHA GERAL'!$J$26</f>
        <v>161.68</v>
      </c>
      <c r="AD18" s="348">
        <f>'PLANILHA GERAL'!$J$43</f>
        <v>219.78</v>
      </c>
      <c r="AE18" s="348">
        <f>(F18*AA18)+(H18*AB18)+(F18*AC18)+(G18*AD18)</f>
        <v>0</v>
      </c>
      <c r="AG18" s="348">
        <f>'PLANILHA GERAL'!$J$45</f>
        <v>20.28</v>
      </c>
      <c r="AH18" s="348">
        <f>'PLANILHA GERAL'!$J$46</f>
        <v>48.14</v>
      </c>
      <c r="AI18" s="348">
        <f>'PLANILHA GERAL'!$J$47</f>
        <v>56.52</v>
      </c>
      <c r="AJ18" s="348">
        <f>'PLANILHA GERAL'!$J$26</f>
        <v>161.68</v>
      </c>
      <c r="AK18" s="348">
        <f>(I18*AG18)+(K18*AH18)+(J18*AI18)+(I18*AJ18)</f>
        <v>494930.83</v>
      </c>
      <c r="AM18" s="348">
        <f>'PLANILHA GERAL'!$J$143</f>
        <v>13.47</v>
      </c>
      <c r="AN18" s="348">
        <f>'PLANILHA GERAL'!$J$144</f>
        <v>4.4000000000000004</v>
      </c>
      <c r="AO18" s="348">
        <f>'PLANILHA GERAL'!$J$145</f>
        <v>3339.24</v>
      </c>
      <c r="AP18" s="348">
        <f>'PLANILHA GERAL'!$J$146</f>
        <v>2.98</v>
      </c>
      <c r="AQ18" s="348">
        <f>'PLANILHA GERAL'!$J$147</f>
        <v>8.8800000000000008</v>
      </c>
      <c r="AR18" s="348">
        <f>'PLANILHA GERAL'!$J$148</f>
        <v>576.21</v>
      </c>
      <c r="AS18" s="348">
        <f>'PLANILHA GERAL'!$J$150</f>
        <v>26.91</v>
      </c>
      <c r="AT18" s="348">
        <f>'PLANILHA GERAL'!$J$151</f>
        <v>11.62</v>
      </c>
      <c r="AU18" s="348">
        <f>'PLANILHA GERAL'!$J$152</f>
        <v>3.7</v>
      </c>
      <c r="AV18" s="348">
        <f>M18*AM18+N18*AN18+P18*AO18+Q18*AP18+U18*AQ18+T18*AR18+R18*AS18+V18*AT18+W18*AU18</f>
        <v>15048601.33</v>
      </c>
    </row>
    <row r="19" spans="1:48" s="359" customFormat="1" ht="154.5" customHeight="1" thickBot="1">
      <c r="A19" s="470">
        <f>DADOS!A13</f>
        <v>2</v>
      </c>
      <c r="B19" s="471" t="s">
        <v>1925</v>
      </c>
      <c r="C19" s="472">
        <f>'MC-TER'!C20</f>
        <v>8050</v>
      </c>
      <c r="D19" s="473">
        <f>'MC-TER'!D20</f>
        <v>7</v>
      </c>
      <c r="E19" s="473">
        <v>1</v>
      </c>
      <c r="F19" s="473">
        <f t="shared" ref="F19:F52" si="1">H19*$F$15</f>
        <v>805</v>
      </c>
      <c r="G19" s="473">
        <f t="shared" ref="G19:G51" si="2">F19*70%</f>
        <v>563.5</v>
      </c>
      <c r="H19" s="473">
        <f t="shared" ref="H19:H36" si="3">C19*E19*2*$H$15</f>
        <v>8050</v>
      </c>
      <c r="I19" s="473">
        <f t="shared" ref="I19:I51" si="4">K19*0.43*0.1</f>
        <v>692.3</v>
      </c>
      <c r="J19" s="473">
        <f>C19*2</f>
        <v>16100</v>
      </c>
      <c r="K19" s="473">
        <f>C19*2</f>
        <v>16100</v>
      </c>
      <c r="L19" s="473">
        <f t="shared" ref="L19:L51" si="5">F19+I19</f>
        <v>1497.3</v>
      </c>
      <c r="M19" s="473">
        <f>C19*(D19-0.43*2+0.1*2)</f>
        <v>51037</v>
      </c>
      <c r="N19" s="473">
        <f>C19*(D19-0.43*2+0.1*2)</f>
        <v>51037</v>
      </c>
      <c r="O19" s="500">
        <v>3.5000000000000003E-2</v>
      </c>
      <c r="P19" s="473">
        <f>N19*O19</f>
        <v>1786.3</v>
      </c>
      <c r="Q19" s="474">
        <f>P19*$Q$15</f>
        <v>44657.5</v>
      </c>
      <c r="R19" s="474"/>
      <c r="S19" s="474"/>
      <c r="T19" s="474"/>
      <c r="U19" s="474"/>
      <c r="V19" s="473"/>
      <c r="W19" s="473"/>
      <c r="X19" s="1488"/>
      <c r="Z19" s="377">
        <f t="shared" si="0"/>
        <v>2</v>
      </c>
      <c r="AA19" s="348">
        <f>'PLANILHA GERAL'!$J$25</f>
        <v>371.29</v>
      </c>
      <c r="AB19" s="348">
        <f>'PLANILHA GERAL'!$J$44</f>
        <v>113.04</v>
      </c>
      <c r="AC19" s="348">
        <f>'PLANILHA GERAL'!$J$26</f>
        <v>161.68</v>
      </c>
      <c r="AD19" s="348">
        <f>'PLANILHA GERAL'!$J$43</f>
        <v>219.78</v>
      </c>
      <c r="AE19" s="348">
        <f t="shared" ref="AE19:AE51" si="6">(F19*AA19)+(H19*AB19)+(F19*AC19)+(G19*AD19)</f>
        <v>1462858.88</v>
      </c>
      <c r="AG19" s="348">
        <f>'PLANILHA GERAL'!$J$45</f>
        <v>20.28</v>
      </c>
      <c r="AH19" s="348">
        <f>'PLANILHA GERAL'!$J$46</f>
        <v>48.14</v>
      </c>
      <c r="AI19" s="348">
        <f>'PLANILHA GERAL'!$J$47</f>
        <v>56.52</v>
      </c>
      <c r="AJ19" s="348">
        <f>'PLANILHA GERAL'!$J$26</f>
        <v>161.68</v>
      </c>
      <c r="AK19" s="348">
        <f t="shared" ref="AK19:AK51" si="7">(I19*AG19)+(K19*AH19)+(J19*AI19)+(I19*AJ19)</f>
        <v>1810996.91</v>
      </c>
      <c r="AM19" s="348">
        <f>'PLANILHA GERAL'!$J$143</f>
        <v>13.47</v>
      </c>
      <c r="AN19" s="348">
        <f>'PLANILHA GERAL'!$J$144</f>
        <v>4.4000000000000004</v>
      </c>
      <c r="AO19" s="348">
        <f>'PLANILHA GERAL'!$J$145</f>
        <v>3339.24</v>
      </c>
      <c r="AP19" s="348">
        <f>'PLANILHA GERAL'!$J$146</f>
        <v>2.98</v>
      </c>
      <c r="AQ19" s="348">
        <f>'PLANILHA GERAL'!$J$147</f>
        <v>8.8800000000000008</v>
      </c>
      <c r="AR19" s="348">
        <f>'PLANILHA GERAL'!$J$148</f>
        <v>576.21</v>
      </c>
      <c r="AS19" s="348">
        <f>'PLANILHA GERAL'!$J$150</f>
        <v>26.91</v>
      </c>
      <c r="AT19" s="348">
        <f>'PLANILHA GERAL'!$J$151</f>
        <v>11.62</v>
      </c>
      <c r="AU19" s="348">
        <f>'PLANILHA GERAL'!$J$152</f>
        <v>3.7</v>
      </c>
      <c r="AV19" s="348">
        <f t="shared" ref="AV19:AV51" si="8">M19*AM19+N19*AN19+P19*AO19+Q19*AP19+U19*AQ19+T19*AR19+R19*AS19+V19*AT19+W19*AU19</f>
        <v>7009994.9500000002</v>
      </c>
    </row>
    <row r="20" spans="1:48" s="359" customFormat="1" ht="80.099999999999994" hidden="1" customHeight="1" thickTop="1" thickBot="1">
      <c r="A20" s="470">
        <f>DADOS!A14</f>
        <v>0</v>
      </c>
      <c r="B20" s="471"/>
      <c r="C20" s="472"/>
      <c r="D20" s="473"/>
      <c r="E20" s="473">
        <v>0</v>
      </c>
      <c r="F20" s="473">
        <v>0</v>
      </c>
      <c r="G20" s="473">
        <v>0</v>
      </c>
      <c r="H20" s="473">
        <v>0</v>
      </c>
      <c r="I20" s="473"/>
      <c r="J20" s="473"/>
      <c r="K20" s="473"/>
      <c r="L20" s="473"/>
      <c r="M20" s="473"/>
      <c r="N20" s="473"/>
      <c r="O20" s="500"/>
      <c r="P20" s="473"/>
      <c r="Q20" s="474"/>
      <c r="R20" s="474"/>
      <c r="S20" s="474"/>
      <c r="T20" s="474"/>
      <c r="U20" s="474"/>
      <c r="V20" s="473"/>
      <c r="W20" s="473"/>
      <c r="X20" s="475"/>
      <c r="Z20" s="377">
        <f t="shared" si="0"/>
        <v>0</v>
      </c>
      <c r="AA20" s="348">
        <f>'PLANILHA GERAL'!$J$25</f>
        <v>371.29</v>
      </c>
      <c r="AB20" s="348">
        <f>'PLANILHA GERAL'!$J$44</f>
        <v>113.04</v>
      </c>
      <c r="AC20" s="348">
        <f>'PLANILHA GERAL'!$J$26</f>
        <v>161.68</v>
      </c>
      <c r="AD20" s="348">
        <f>'PLANILHA GERAL'!$J$43</f>
        <v>219.78</v>
      </c>
      <c r="AE20" s="348">
        <f t="shared" si="6"/>
        <v>0</v>
      </c>
      <c r="AG20" s="348">
        <f>'PLANILHA GERAL'!$J$45</f>
        <v>20.28</v>
      </c>
      <c r="AH20" s="348">
        <f>'PLANILHA GERAL'!$J$46</f>
        <v>48.14</v>
      </c>
      <c r="AI20" s="348">
        <f>'PLANILHA GERAL'!$J$47</f>
        <v>56.52</v>
      </c>
      <c r="AJ20" s="348">
        <f>'PLANILHA GERAL'!$J$26</f>
        <v>161.68</v>
      </c>
      <c r="AK20" s="348">
        <f t="shared" si="7"/>
        <v>0</v>
      </c>
      <c r="AM20" s="348">
        <f>'PLANILHA GERAL'!$J$143</f>
        <v>13.47</v>
      </c>
      <c r="AN20" s="348">
        <f>'PLANILHA GERAL'!$J$144</f>
        <v>4.4000000000000004</v>
      </c>
      <c r="AO20" s="348">
        <f>'PLANILHA GERAL'!$J$145</f>
        <v>3339.24</v>
      </c>
      <c r="AP20" s="348">
        <f>'PLANILHA GERAL'!$J$146</f>
        <v>2.98</v>
      </c>
      <c r="AQ20" s="348">
        <f>'PLANILHA GERAL'!$J$147</f>
        <v>8.8800000000000008</v>
      </c>
      <c r="AR20" s="348">
        <f>'PLANILHA GERAL'!$J$148</f>
        <v>576.21</v>
      </c>
      <c r="AS20" s="348">
        <f>'PLANILHA GERAL'!$J$150</f>
        <v>26.91</v>
      </c>
      <c r="AT20" s="348">
        <f>'PLANILHA GERAL'!$J$151</f>
        <v>11.62</v>
      </c>
      <c r="AU20" s="348">
        <f>'PLANILHA GERAL'!$J$152</f>
        <v>3.7</v>
      </c>
      <c r="AV20" s="348">
        <f t="shared" si="8"/>
        <v>0</v>
      </c>
    </row>
    <row r="21" spans="1:48" s="359" customFormat="1" ht="80.099999999999994" hidden="1" customHeight="1" thickTop="1" thickBot="1">
      <c r="A21" s="470">
        <f>DADOS!A15</f>
        <v>0</v>
      </c>
      <c r="B21" s="471"/>
      <c r="C21" s="472"/>
      <c r="D21" s="473"/>
      <c r="E21" s="473">
        <v>0</v>
      </c>
      <c r="F21" s="473">
        <v>0</v>
      </c>
      <c r="G21" s="473">
        <v>0</v>
      </c>
      <c r="H21" s="473">
        <v>0</v>
      </c>
      <c r="I21" s="473"/>
      <c r="J21" s="473"/>
      <c r="K21" s="473"/>
      <c r="L21" s="473"/>
      <c r="M21" s="473"/>
      <c r="N21" s="473"/>
      <c r="O21" s="500"/>
      <c r="P21" s="473"/>
      <c r="Q21" s="474"/>
      <c r="R21" s="474"/>
      <c r="S21" s="474"/>
      <c r="T21" s="474"/>
      <c r="U21" s="474"/>
      <c r="V21" s="473"/>
      <c r="W21" s="473"/>
      <c r="X21" s="475"/>
      <c r="Z21" s="377">
        <f t="shared" si="0"/>
        <v>0</v>
      </c>
      <c r="AA21" s="348">
        <f>'PLANILHA GERAL'!$J$25</f>
        <v>371.29</v>
      </c>
      <c r="AB21" s="348">
        <f>'PLANILHA GERAL'!$J$44</f>
        <v>113.04</v>
      </c>
      <c r="AC21" s="348">
        <f>'PLANILHA GERAL'!$J$26</f>
        <v>161.68</v>
      </c>
      <c r="AD21" s="348">
        <f>'PLANILHA GERAL'!$J$43</f>
        <v>219.78</v>
      </c>
      <c r="AE21" s="348">
        <f t="shared" si="6"/>
        <v>0</v>
      </c>
      <c r="AG21" s="348">
        <f>'PLANILHA GERAL'!$J$45</f>
        <v>20.28</v>
      </c>
      <c r="AH21" s="348">
        <f>'PLANILHA GERAL'!$J$46</f>
        <v>48.14</v>
      </c>
      <c r="AI21" s="348">
        <f>'PLANILHA GERAL'!$J$47</f>
        <v>56.52</v>
      </c>
      <c r="AJ21" s="348">
        <f>'PLANILHA GERAL'!$J$26</f>
        <v>161.68</v>
      </c>
      <c r="AK21" s="348">
        <f t="shared" si="7"/>
        <v>0</v>
      </c>
      <c r="AM21" s="348">
        <f>'PLANILHA GERAL'!$J$143</f>
        <v>13.47</v>
      </c>
      <c r="AN21" s="348">
        <f>'PLANILHA GERAL'!$J$144</f>
        <v>4.4000000000000004</v>
      </c>
      <c r="AO21" s="348">
        <f>'PLANILHA GERAL'!$J$145</f>
        <v>3339.24</v>
      </c>
      <c r="AP21" s="348">
        <f>'PLANILHA GERAL'!$J$146</f>
        <v>2.98</v>
      </c>
      <c r="AQ21" s="348">
        <f>'PLANILHA GERAL'!$J$147</f>
        <v>8.8800000000000008</v>
      </c>
      <c r="AR21" s="348">
        <f>'PLANILHA GERAL'!$J$148</f>
        <v>576.21</v>
      </c>
      <c r="AS21" s="348">
        <f>'PLANILHA GERAL'!$J$150</f>
        <v>26.91</v>
      </c>
      <c r="AT21" s="348">
        <f>'PLANILHA GERAL'!$J$151</f>
        <v>11.62</v>
      </c>
      <c r="AU21" s="348">
        <f>'PLANILHA GERAL'!$J$152</f>
        <v>3.7</v>
      </c>
      <c r="AV21" s="348">
        <f t="shared" si="8"/>
        <v>0</v>
      </c>
    </row>
    <row r="22" spans="1:48" s="359" customFormat="1" ht="91.5" hidden="1" customHeight="1" thickTop="1" thickBot="1">
      <c r="A22" s="470">
        <f>DADOS!A16</f>
        <v>0</v>
      </c>
      <c r="B22" s="527"/>
      <c r="C22" s="472"/>
      <c r="D22" s="473"/>
      <c r="E22" s="473">
        <v>1</v>
      </c>
      <c r="F22" s="473"/>
      <c r="G22" s="473"/>
      <c r="H22" s="473"/>
      <c r="I22" s="473"/>
      <c r="J22" s="473"/>
      <c r="K22" s="473"/>
      <c r="L22" s="473"/>
      <c r="M22" s="473"/>
      <c r="N22" s="473"/>
      <c r="O22" s="500"/>
      <c r="P22" s="473"/>
      <c r="Q22" s="474"/>
      <c r="R22" s="474"/>
      <c r="S22" s="474"/>
      <c r="T22" s="474"/>
      <c r="U22" s="474"/>
      <c r="V22" s="473"/>
      <c r="W22" s="473"/>
      <c r="X22" s="475"/>
      <c r="Z22" s="377">
        <f t="shared" si="0"/>
        <v>0</v>
      </c>
      <c r="AA22" s="348">
        <f>'PLANILHA GERAL'!$J$25</f>
        <v>371.29</v>
      </c>
      <c r="AB22" s="348">
        <f>'PLANILHA GERAL'!$J$44</f>
        <v>113.04</v>
      </c>
      <c r="AC22" s="348">
        <f>'PLANILHA GERAL'!$J$26</f>
        <v>161.68</v>
      </c>
      <c r="AD22" s="348">
        <f>'PLANILHA GERAL'!$J$43</f>
        <v>219.78</v>
      </c>
      <c r="AE22" s="348">
        <f t="shared" si="6"/>
        <v>0</v>
      </c>
      <c r="AG22" s="348">
        <f>'PLANILHA GERAL'!$J$45</f>
        <v>20.28</v>
      </c>
      <c r="AH22" s="348">
        <f>'PLANILHA GERAL'!$J$46</f>
        <v>48.14</v>
      </c>
      <c r="AI22" s="348">
        <f>'PLANILHA GERAL'!$J$47</f>
        <v>56.52</v>
      </c>
      <c r="AJ22" s="348">
        <f>'PLANILHA GERAL'!$J$26</f>
        <v>161.68</v>
      </c>
      <c r="AK22" s="348">
        <f t="shared" si="7"/>
        <v>0</v>
      </c>
      <c r="AM22" s="348">
        <f>'PLANILHA GERAL'!$J$143</f>
        <v>13.47</v>
      </c>
      <c r="AN22" s="348">
        <f>'PLANILHA GERAL'!$J$144</f>
        <v>4.4000000000000004</v>
      </c>
      <c r="AO22" s="348">
        <f>'PLANILHA GERAL'!$J$145</f>
        <v>3339.24</v>
      </c>
      <c r="AP22" s="348">
        <f>'PLANILHA GERAL'!$J$146</f>
        <v>2.98</v>
      </c>
      <c r="AQ22" s="348">
        <f>'PLANILHA GERAL'!$J$147</f>
        <v>8.8800000000000008</v>
      </c>
      <c r="AR22" s="348">
        <f>'PLANILHA GERAL'!$J$148</f>
        <v>576.21</v>
      </c>
      <c r="AS22" s="348">
        <f>'PLANILHA GERAL'!$J$150</f>
        <v>26.91</v>
      </c>
      <c r="AT22" s="348">
        <f>'PLANILHA GERAL'!$J$151</f>
        <v>11.62</v>
      </c>
      <c r="AU22" s="348">
        <f>'PLANILHA GERAL'!$J$152</f>
        <v>3.7</v>
      </c>
      <c r="AV22" s="348">
        <f t="shared" si="8"/>
        <v>0</v>
      </c>
    </row>
    <row r="23" spans="1:48" s="359" customFormat="1" ht="80.099999999999994" hidden="1" customHeight="1" thickTop="1" thickBot="1">
      <c r="A23" s="470">
        <f>DADOS!A17</f>
        <v>0</v>
      </c>
      <c r="B23" s="471"/>
      <c r="C23" s="472">
        <f>DADOS!E17</f>
        <v>0</v>
      </c>
      <c r="D23" s="473">
        <f>DADOS!F17</f>
        <v>0</v>
      </c>
      <c r="E23" s="473"/>
      <c r="F23" s="473">
        <f t="shared" si="1"/>
        <v>0</v>
      </c>
      <c r="G23" s="473">
        <f t="shared" si="2"/>
        <v>0</v>
      </c>
      <c r="H23" s="473">
        <f t="shared" si="3"/>
        <v>0</v>
      </c>
      <c r="I23" s="473">
        <f t="shared" si="4"/>
        <v>0</v>
      </c>
      <c r="J23" s="473">
        <f>C23*2*0</f>
        <v>0</v>
      </c>
      <c r="K23" s="473">
        <f>C23*2*0</f>
        <v>0</v>
      </c>
      <c r="L23" s="473">
        <f t="shared" si="5"/>
        <v>0</v>
      </c>
      <c r="M23" s="473">
        <f>C23*(D23-0.43*2)*0</f>
        <v>0</v>
      </c>
      <c r="N23" s="473">
        <f t="shared" ref="N23:N52" si="9">C23*(D23-0.43*2)</f>
        <v>0</v>
      </c>
      <c r="O23" s="500">
        <v>3.5000000000000003E-2</v>
      </c>
      <c r="P23" s="473">
        <f t="shared" ref="P23:P35" si="10">N23*O23</f>
        <v>0</v>
      </c>
      <c r="Q23" s="474">
        <f t="shared" ref="Q23:Q35" si="11">P23*$Q$15</f>
        <v>0</v>
      </c>
      <c r="R23" s="474">
        <f t="shared" ref="R23:R52" si="12">N23*$R$15</f>
        <v>0</v>
      </c>
      <c r="S23" s="474">
        <f t="shared" ref="S23:T52" si="13">M23*0.7*$T$15</f>
        <v>0</v>
      </c>
      <c r="T23" s="474">
        <f t="shared" si="13"/>
        <v>0</v>
      </c>
      <c r="U23" s="474">
        <f t="shared" ref="U23:U52" si="14">N23*$U$15</f>
        <v>0</v>
      </c>
      <c r="V23" s="473">
        <f t="shared" ref="V23:V51" si="15">(R23+U23)*0.05+T23</f>
        <v>0</v>
      </c>
      <c r="W23" s="473">
        <f t="shared" ref="W23:W55" si="16">V23*1.3*$W$15</f>
        <v>0</v>
      </c>
      <c r="X23" s="475">
        <f t="shared" ref="X23:X52" si="17">C23*D23*15%</f>
        <v>0</v>
      </c>
      <c r="Z23" s="377">
        <f t="shared" si="0"/>
        <v>0</v>
      </c>
      <c r="AA23" s="348">
        <f>'PLANILHA GERAL'!$J$25</f>
        <v>371.29</v>
      </c>
      <c r="AB23" s="348">
        <f>'PLANILHA GERAL'!$J$44</f>
        <v>113.04</v>
      </c>
      <c r="AC23" s="348">
        <f>'PLANILHA GERAL'!$J$26</f>
        <v>161.68</v>
      </c>
      <c r="AD23" s="348">
        <f>'PLANILHA GERAL'!$J$43</f>
        <v>219.78</v>
      </c>
      <c r="AE23" s="348">
        <f t="shared" si="6"/>
        <v>0</v>
      </c>
      <c r="AG23" s="348">
        <f>'PLANILHA GERAL'!$J$45</f>
        <v>20.28</v>
      </c>
      <c r="AH23" s="348">
        <f>'PLANILHA GERAL'!$J$46</f>
        <v>48.14</v>
      </c>
      <c r="AI23" s="348">
        <f>'PLANILHA GERAL'!$J$47</f>
        <v>56.52</v>
      </c>
      <c r="AJ23" s="348">
        <f>'PLANILHA GERAL'!$J$26</f>
        <v>161.68</v>
      </c>
      <c r="AK23" s="348">
        <f t="shared" si="7"/>
        <v>0</v>
      </c>
      <c r="AM23" s="348">
        <f>'PLANILHA GERAL'!$J$143</f>
        <v>13.47</v>
      </c>
      <c r="AN23" s="348">
        <f>'PLANILHA GERAL'!$J$144</f>
        <v>4.4000000000000004</v>
      </c>
      <c r="AO23" s="348">
        <f>'PLANILHA GERAL'!$J$145</f>
        <v>3339.24</v>
      </c>
      <c r="AP23" s="348">
        <f>'PLANILHA GERAL'!$J$146</f>
        <v>2.98</v>
      </c>
      <c r="AQ23" s="348">
        <f>'PLANILHA GERAL'!$J$147</f>
        <v>8.8800000000000008</v>
      </c>
      <c r="AR23" s="348">
        <f>'PLANILHA GERAL'!$J$148</f>
        <v>576.21</v>
      </c>
      <c r="AS23" s="348">
        <f>'PLANILHA GERAL'!$J$150</f>
        <v>26.91</v>
      </c>
      <c r="AT23" s="348">
        <f>'PLANILHA GERAL'!$J$151</f>
        <v>11.62</v>
      </c>
      <c r="AU23" s="348">
        <f>'PLANILHA GERAL'!$J$152</f>
        <v>3.7</v>
      </c>
      <c r="AV23" s="348">
        <f t="shared" si="8"/>
        <v>0</v>
      </c>
    </row>
    <row r="24" spans="1:48" s="359" customFormat="1" ht="80.099999999999994" hidden="1" customHeight="1" thickTop="1" thickBot="1">
      <c r="A24" s="470">
        <f>DADOS!A18</f>
        <v>0</v>
      </c>
      <c r="B24" s="471"/>
      <c r="C24" s="472">
        <f>DADOS!E18</f>
        <v>0</v>
      </c>
      <c r="D24" s="473">
        <f>DADOS!F18</f>
        <v>0</v>
      </c>
      <c r="E24" s="473"/>
      <c r="F24" s="473">
        <f t="shared" si="1"/>
        <v>0</v>
      </c>
      <c r="G24" s="473">
        <f t="shared" si="2"/>
        <v>0</v>
      </c>
      <c r="H24" s="473">
        <f>C24*E24*2*70%</f>
        <v>0</v>
      </c>
      <c r="I24" s="473">
        <f t="shared" si="4"/>
        <v>0</v>
      </c>
      <c r="J24" s="473">
        <f t="shared" ref="J24:J31" si="18">C24*2*0</f>
        <v>0</v>
      </c>
      <c r="K24" s="473">
        <f t="shared" ref="K24:K31" si="19">C24*2*0</f>
        <v>0</v>
      </c>
      <c r="L24" s="473">
        <f t="shared" si="5"/>
        <v>0</v>
      </c>
      <c r="M24" s="473">
        <f>C24*(D24-0.43*2)*0</f>
        <v>0</v>
      </c>
      <c r="N24" s="473">
        <f t="shared" si="9"/>
        <v>0</v>
      </c>
      <c r="O24" s="500">
        <v>3.5000000000000003E-2</v>
      </c>
      <c r="P24" s="473">
        <f t="shared" si="10"/>
        <v>0</v>
      </c>
      <c r="Q24" s="474">
        <f t="shared" si="11"/>
        <v>0</v>
      </c>
      <c r="R24" s="474">
        <f t="shared" si="12"/>
        <v>0</v>
      </c>
      <c r="S24" s="474">
        <f t="shared" si="13"/>
        <v>0</v>
      </c>
      <c r="T24" s="474">
        <f t="shared" si="13"/>
        <v>0</v>
      </c>
      <c r="U24" s="474">
        <f t="shared" si="14"/>
        <v>0</v>
      </c>
      <c r="V24" s="473">
        <f t="shared" si="15"/>
        <v>0</v>
      </c>
      <c r="W24" s="473">
        <f t="shared" si="16"/>
        <v>0</v>
      </c>
      <c r="X24" s="475">
        <f t="shared" si="17"/>
        <v>0</v>
      </c>
      <c r="Z24" s="377">
        <f t="shared" si="0"/>
        <v>0</v>
      </c>
      <c r="AA24" s="348">
        <f>'PLANILHA GERAL'!$J$25</f>
        <v>371.29</v>
      </c>
      <c r="AB24" s="348">
        <f>'PLANILHA GERAL'!$J$44</f>
        <v>113.04</v>
      </c>
      <c r="AC24" s="348">
        <f>'PLANILHA GERAL'!$J$26</f>
        <v>161.68</v>
      </c>
      <c r="AD24" s="348">
        <f>'PLANILHA GERAL'!$J$43</f>
        <v>219.78</v>
      </c>
      <c r="AE24" s="348">
        <f t="shared" si="6"/>
        <v>0</v>
      </c>
      <c r="AG24" s="348">
        <f>'PLANILHA GERAL'!$J$45</f>
        <v>20.28</v>
      </c>
      <c r="AH24" s="348">
        <f>'PLANILHA GERAL'!$J$46</f>
        <v>48.14</v>
      </c>
      <c r="AI24" s="348">
        <f>'PLANILHA GERAL'!$J$47</f>
        <v>56.52</v>
      </c>
      <c r="AJ24" s="348">
        <f>'PLANILHA GERAL'!$J$26</f>
        <v>161.68</v>
      </c>
      <c r="AK24" s="348">
        <f t="shared" si="7"/>
        <v>0</v>
      </c>
      <c r="AM24" s="348">
        <f>'PLANILHA GERAL'!$J$143</f>
        <v>13.47</v>
      </c>
      <c r="AN24" s="348">
        <f>'PLANILHA GERAL'!$J$144</f>
        <v>4.4000000000000004</v>
      </c>
      <c r="AO24" s="348">
        <f>'PLANILHA GERAL'!$J$145</f>
        <v>3339.24</v>
      </c>
      <c r="AP24" s="348">
        <f>'PLANILHA GERAL'!$J$146</f>
        <v>2.98</v>
      </c>
      <c r="AQ24" s="348">
        <f>'PLANILHA GERAL'!$J$147</f>
        <v>8.8800000000000008</v>
      </c>
      <c r="AR24" s="348">
        <f>'PLANILHA GERAL'!$J$148</f>
        <v>576.21</v>
      </c>
      <c r="AS24" s="348">
        <f>'PLANILHA GERAL'!$J$150</f>
        <v>26.91</v>
      </c>
      <c r="AT24" s="348">
        <f>'PLANILHA GERAL'!$J$151</f>
        <v>11.62</v>
      </c>
      <c r="AU24" s="348">
        <f>'PLANILHA GERAL'!$J$152</f>
        <v>3.7</v>
      </c>
      <c r="AV24" s="348">
        <f t="shared" si="8"/>
        <v>0</v>
      </c>
    </row>
    <row r="25" spans="1:48" ht="97.5" hidden="1" customHeight="1" thickTop="1" thickBot="1">
      <c r="A25" s="470">
        <f>DADOS!A19</f>
        <v>0</v>
      </c>
      <c r="B25" s="471"/>
      <c r="C25" s="472">
        <f>DADOS!E19</f>
        <v>0</v>
      </c>
      <c r="D25" s="473">
        <f>DADOS!F19</f>
        <v>0</v>
      </c>
      <c r="E25" s="473"/>
      <c r="F25" s="473">
        <f t="shared" si="1"/>
        <v>0</v>
      </c>
      <c r="G25" s="473">
        <f t="shared" si="2"/>
        <v>0</v>
      </c>
      <c r="H25" s="473">
        <f t="shared" si="3"/>
        <v>0</v>
      </c>
      <c r="I25" s="473">
        <f t="shared" si="4"/>
        <v>0</v>
      </c>
      <c r="J25" s="473">
        <f>C25*2</f>
        <v>0</v>
      </c>
      <c r="K25" s="473">
        <f>C25*2</f>
        <v>0</v>
      </c>
      <c r="L25" s="473">
        <f t="shared" si="5"/>
        <v>0</v>
      </c>
      <c r="M25" s="473">
        <f>C25*(D25-0.43*2)</f>
        <v>0</v>
      </c>
      <c r="N25" s="473">
        <f t="shared" si="9"/>
        <v>0</v>
      </c>
      <c r="O25" s="500">
        <v>3.5000000000000003E-2</v>
      </c>
      <c r="P25" s="473">
        <f t="shared" si="10"/>
        <v>0</v>
      </c>
      <c r="Q25" s="474">
        <f t="shared" si="11"/>
        <v>0</v>
      </c>
      <c r="R25" s="474">
        <f t="shared" si="12"/>
        <v>0</v>
      </c>
      <c r="S25" s="474">
        <f t="shared" si="13"/>
        <v>0</v>
      </c>
      <c r="T25" s="474">
        <f t="shared" si="13"/>
        <v>0</v>
      </c>
      <c r="U25" s="474">
        <f t="shared" si="14"/>
        <v>0</v>
      </c>
      <c r="V25" s="473">
        <f t="shared" si="15"/>
        <v>0</v>
      </c>
      <c r="W25" s="473">
        <f t="shared" si="16"/>
        <v>0</v>
      </c>
      <c r="X25" s="475">
        <f t="shared" si="17"/>
        <v>0</v>
      </c>
      <c r="Z25" s="377">
        <f t="shared" si="0"/>
        <v>0</v>
      </c>
      <c r="AA25" s="348">
        <f>'PLANILHA GERAL'!$J$25</f>
        <v>371.29</v>
      </c>
      <c r="AB25" s="348">
        <f>'PLANILHA GERAL'!$J$44</f>
        <v>113.04</v>
      </c>
      <c r="AC25" s="348">
        <f>'PLANILHA GERAL'!$J$26</f>
        <v>161.68</v>
      </c>
      <c r="AD25" s="348">
        <f>'PLANILHA GERAL'!$J$43</f>
        <v>219.78</v>
      </c>
      <c r="AE25" s="348">
        <f t="shared" si="6"/>
        <v>0</v>
      </c>
      <c r="AG25" s="348">
        <f>'PLANILHA GERAL'!$J$45</f>
        <v>20.28</v>
      </c>
      <c r="AH25" s="348">
        <f>'PLANILHA GERAL'!$J$46</f>
        <v>48.14</v>
      </c>
      <c r="AI25" s="348">
        <f>'PLANILHA GERAL'!$J$47</f>
        <v>56.52</v>
      </c>
      <c r="AJ25" s="348">
        <f>'PLANILHA GERAL'!$J$26</f>
        <v>161.68</v>
      </c>
      <c r="AK25" s="348">
        <f t="shared" si="7"/>
        <v>0</v>
      </c>
      <c r="AM25" s="348">
        <f>'PLANILHA GERAL'!$J$143</f>
        <v>13.47</v>
      </c>
      <c r="AN25" s="348">
        <f>'PLANILHA GERAL'!$J$144</f>
        <v>4.4000000000000004</v>
      </c>
      <c r="AO25" s="348">
        <f>'PLANILHA GERAL'!$J$145</f>
        <v>3339.24</v>
      </c>
      <c r="AP25" s="348">
        <f>'PLANILHA GERAL'!$J$146</f>
        <v>2.98</v>
      </c>
      <c r="AQ25" s="348">
        <f>'PLANILHA GERAL'!$J$147</f>
        <v>8.8800000000000008</v>
      </c>
      <c r="AR25" s="348">
        <f>'PLANILHA GERAL'!$J$148</f>
        <v>576.21</v>
      </c>
      <c r="AS25" s="348">
        <f>'PLANILHA GERAL'!$J$150</f>
        <v>26.91</v>
      </c>
      <c r="AT25" s="348">
        <f>'PLANILHA GERAL'!$J$151</f>
        <v>11.62</v>
      </c>
      <c r="AU25" s="348">
        <f>'PLANILHA GERAL'!$J$152</f>
        <v>3.7</v>
      </c>
      <c r="AV25" s="348">
        <f t="shared" si="8"/>
        <v>0</v>
      </c>
    </row>
    <row r="26" spans="1:48" ht="80.099999999999994" hidden="1" customHeight="1" thickTop="1" thickBot="1">
      <c r="A26" s="470">
        <f>DADOS!A20</f>
        <v>0</v>
      </c>
      <c r="B26" s="471"/>
      <c r="C26" s="472">
        <f>DADOS!E20</f>
        <v>0</v>
      </c>
      <c r="D26" s="473">
        <f>DADOS!F20</f>
        <v>0</v>
      </c>
      <c r="E26" s="473"/>
      <c r="F26" s="473">
        <f t="shared" si="1"/>
        <v>0</v>
      </c>
      <c r="G26" s="473">
        <f t="shared" si="2"/>
        <v>0</v>
      </c>
      <c r="H26" s="473">
        <f t="shared" si="3"/>
        <v>0</v>
      </c>
      <c r="I26" s="473">
        <f t="shared" si="4"/>
        <v>0</v>
      </c>
      <c r="J26" s="473">
        <f t="shared" si="18"/>
        <v>0</v>
      </c>
      <c r="K26" s="473">
        <f t="shared" si="19"/>
        <v>0</v>
      </c>
      <c r="L26" s="473">
        <f t="shared" si="5"/>
        <v>0</v>
      </c>
      <c r="M26" s="473">
        <f>C26*(D26-0.43*2)</f>
        <v>0</v>
      </c>
      <c r="N26" s="473">
        <f t="shared" si="9"/>
        <v>0</v>
      </c>
      <c r="O26" s="500">
        <v>3.5000000000000003E-2</v>
      </c>
      <c r="P26" s="473">
        <f t="shared" si="10"/>
        <v>0</v>
      </c>
      <c r="Q26" s="474">
        <f t="shared" si="11"/>
        <v>0</v>
      </c>
      <c r="R26" s="474">
        <f t="shared" si="12"/>
        <v>0</v>
      </c>
      <c r="S26" s="474">
        <f t="shared" si="13"/>
        <v>0</v>
      </c>
      <c r="T26" s="474">
        <f t="shared" si="13"/>
        <v>0</v>
      </c>
      <c r="U26" s="474">
        <f t="shared" si="14"/>
        <v>0</v>
      </c>
      <c r="V26" s="473">
        <f t="shared" si="15"/>
        <v>0</v>
      </c>
      <c r="W26" s="473">
        <f t="shared" si="16"/>
        <v>0</v>
      </c>
      <c r="X26" s="475">
        <f t="shared" si="17"/>
        <v>0</v>
      </c>
      <c r="Z26" s="377">
        <f t="shared" si="0"/>
        <v>0</v>
      </c>
      <c r="AA26" s="348">
        <f>'PLANILHA GERAL'!$J$25</f>
        <v>371.29</v>
      </c>
      <c r="AB26" s="348">
        <f>'PLANILHA GERAL'!$J$44</f>
        <v>113.04</v>
      </c>
      <c r="AC26" s="348">
        <f>'PLANILHA GERAL'!$J$26</f>
        <v>161.68</v>
      </c>
      <c r="AD26" s="348">
        <f>'PLANILHA GERAL'!$J$43</f>
        <v>219.78</v>
      </c>
      <c r="AE26" s="348">
        <f t="shared" si="6"/>
        <v>0</v>
      </c>
      <c r="AG26" s="348">
        <f>'PLANILHA GERAL'!$J$45</f>
        <v>20.28</v>
      </c>
      <c r="AH26" s="348">
        <f>'PLANILHA GERAL'!$J$46</f>
        <v>48.14</v>
      </c>
      <c r="AI26" s="348">
        <f>'PLANILHA GERAL'!$J$47</f>
        <v>56.52</v>
      </c>
      <c r="AJ26" s="348">
        <f>'PLANILHA GERAL'!$J$26</f>
        <v>161.68</v>
      </c>
      <c r="AK26" s="348">
        <f t="shared" si="7"/>
        <v>0</v>
      </c>
      <c r="AM26" s="348">
        <f>'PLANILHA GERAL'!$J$143</f>
        <v>13.47</v>
      </c>
      <c r="AN26" s="348">
        <f>'PLANILHA GERAL'!$J$144</f>
        <v>4.4000000000000004</v>
      </c>
      <c r="AO26" s="348">
        <f>'PLANILHA GERAL'!$J$145</f>
        <v>3339.24</v>
      </c>
      <c r="AP26" s="348">
        <f>'PLANILHA GERAL'!$J$146</f>
        <v>2.98</v>
      </c>
      <c r="AQ26" s="348">
        <f>'PLANILHA GERAL'!$J$147</f>
        <v>8.8800000000000008</v>
      </c>
      <c r="AR26" s="348">
        <f>'PLANILHA GERAL'!$J$148</f>
        <v>576.21</v>
      </c>
      <c r="AS26" s="348">
        <f>'PLANILHA GERAL'!$J$150</f>
        <v>26.91</v>
      </c>
      <c r="AT26" s="348">
        <f>'PLANILHA GERAL'!$J$151</f>
        <v>11.62</v>
      </c>
      <c r="AU26" s="348">
        <f>'PLANILHA GERAL'!$J$152</f>
        <v>3.7</v>
      </c>
      <c r="AV26" s="348">
        <f t="shared" si="8"/>
        <v>0</v>
      </c>
    </row>
    <row r="27" spans="1:48" ht="97.5" hidden="1" customHeight="1" thickTop="1" thickBot="1">
      <c r="A27" s="470">
        <f>DADOS!A21</f>
        <v>0</v>
      </c>
      <c r="B27" s="471"/>
      <c r="C27" s="472">
        <f>DADOS!E21</f>
        <v>0</v>
      </c>
      <c r="D27" s="473">
        <f>DADOS!F21</f>
        <v>0</v>
      </c>
      <c r="E27" s="473"/>
      <c r="F27" s="473">
        <f t="shared" si="1"/>
        <v>0</v>
      </c>
      <c r="G27" s="473">
        <f t="shared" si="2"/>
        <v>0</v>
      </c>
      <c r="H27" s="473">
        <f>C27*E27*2*30%</f>
        <v>0</v>
      </c>
      <c r="I27" s="473">
        <f t="shared" si="4"/>
        <v>0</v>
      </c>
      <c r="J27" s="473">
        <f t="shared" si="18"/>
        <v>0</v>
      </c>
      <c r="K27" s="473">
        <f t="shared" si="19"/>
        <v>0</v>
      </c>
      <c r="L27" s="473">
        <f t="shared" si="5"/>
        <v>0</v>
      </c>
      <c r="M27" s="473">
        <f>C27*(D27-0.43*2)</f>
        <v>0</v>
      </c>
      <c r="N27" s="473">
        <f t="shared" si="9"/>
        <v>0</v>
      </c>
      <c r="O27" s="500">
        <v>3.5000000000000003E-2</v>
      </c>
      <c r="P27" s="473">
        <f t="shared" si="10"/>
        <v>0</v>
      </c>
      <c r="Q27" s="474">
        <f t="shared" si="11"/>
        <v>0</v>
      </c>
      <c r="R27" s="474">
        <f t="shared" si="12"/>
        <v>0</v>
      </c>
      <c r="S27" s="474">
        <f t="shared" si="13"/>
        <v>0</v>
      </c>
      <c r="T27" s="474">
        <f t="shared" si="13"/>
        <v>0</v>
      </c>
      <c r="U27" s="474">
        <f t="shared" si="14"/>
        <v>0</v>
      </c>
      <c r="V27" s="473">
        <f t="shared" si="15"/>
        <v>0</v>
      </c>
      <c r="W27" s="473">
        <f t="shared" si="16"/>
        <v>0</v>
      </c>
      <c r="X27" s="475">
        <f t="shared" si="17"/>
        <v>0</v>
      </c>
      <c r="Z27" s="377">
        <f t="shared" si="0"/>
        <v>0</v>
      </c>
      <c r="AA27" s="348">
        <f>'PLANILHA GERAL'!$J$25</f>
        <v>371.29</v>
      </c>
      <c r="AB27" s="348">
        <f>'PLANILHA GERAL'!$J$44</f>
        <v>113.04</v>
      </c>
      <c r="AC27" s="348">
        <f>'PLANILHA GERAL'!$J$26</f>
        <v>161.68</v>
      </c>
      <c r="AD27" s="348">
        <f>'PLANILHA GERAL'!$J$43</f>
        <v>219.78</v>
      </c>
      <c r="AE27" s="348">
        <f t="shared" si="6"/>
        <v>0</v>
      </c>
      <c r="AG27" s="348">
        <f>'PLANILHA GERAL'!$J$45</f>
        <v>20.28</v>
      </c>
      <c r="AH27" s="348">
        <f>'PLANILHA GERAL'!$J$46</f>
        <v>48.14</v>
      </c>
      <c r="AI27" s="348">
        <f>'PLANILHA GERAL'!$J$47</f>
        <v>56.52</v>
      </c>
      <c r="AJ27" s="348">
        <f>'PLANILHA GERAL'!$J$26</f>
        <v>161.68</v>
      </c>
      <c r="AK27" s="348">
        <f t="shared" si="7"/>
        <v>0</v>
      </c>
      <c r="AM27" s="348">
        <f>'PLANILHA GERAL'!$J$143</f>
        <v>13.47</v>
      </c>
      <c r="AN27" s="348">
        <f>'PLANILHA GERAL'!$J$144</f>
        <v>4.4000000000000004</v>
      </c>
      <c r="AO27" s="348">
        <f>'PLANILHA GERAL'!$J$145</f>
        <v>3339.24</v>
      </c>
      <c r="AP27" s="348">
        <f>'PLANILHA GERAL'!$J$146</f>
        <v>2.98</v>
      </c>
      <c r="AQ27" s="348">
        <f>'PLANILHA GERAL'!$J$147</f>
        <v>8.8800000000000008</v>
      </c>
      <c r="AR27" s="348">
        <f>'PLANILHA GERAL'!$J$148</f>
        <v>576.21</v>
      </c>
      <c r="AS27" s="348">
        <f>'PLANILHA GERAL'!$J$150</f>
        <v>26.91</v>
      </c>
      <c r="AT27" s="348">
        <f>'PLANILHA GERAL'!$J$151</f>
        <v>11.62</v>
      </c>
      <c r="AU27" s="348">
        <f>'PLANILHA GERAL'!$J$152</f>
        <v>3.7</v>
      </c>
      <c r="AV27" s="348">
        <f t="shared" si="8"/>
        <v>0</v>
      </c>
    </row>
    <row r="28" spans="1:48" ht="80.099999999999994" hidden="1" customHeight="1" thickTop="1" thickBot="1">
      <c r="A28" s="470">
        <f>DADOS!A22</f>
        <v>0</v>
      </c>
      <c r="B28" s="471"/>
      <c r="C28" s="472">
        <f>DADOS!E22</f>
        <v>0</v>
      </c>
      <c r="D28" s="473">
        <f>DADOS!F22</f>
        <v>0</v>
      </c>
      <c r="E28" s="473"/>
      <c r="F28" s="473">
        <f t="shared" si="1"/>
        <v>0</v>
      </c>
      <c r="G28" s="473">
        <f t="shared" si="2"/>
        <v>0</v>
      </c>
      <c r="H28" s="473">
        <f t="shared" si="3"/>
        <v>0</v>
      </c>
      <c r="I28" s="473">
        <f t="shared" si="4"/>
        <v>0</v>
      </c>
      <c r="J28" s="473">
        <f t="shared" si="18"/>
        <v>0</v>
      </c>
      <c r="K28" s="473">
        <f t="shared" si="19"/>
        <v>0</v>
      </c>
      <c r="L28" s="473">
        <f t="shared" si="5"/>
        <v>0</v>
      </c>
      <c r="M28" s="473">
        <f>C28*(D28-0.43*2)*0</f>
        <v>0</v>
      </c>
      <c r="N28" s="473">
        <f t="shared" si="9"/>
        <v>0</v>
      </c>
      <c r="O28" s="500">
        <v>3.5000000000000003E-2</v>
      </c>
      <c r="P28" s="473">
        <f t="shared" si="10"/>
        <v>0</v>
      </c>
      <c r="Q28" s="474">
        <f t="shared" si="11"/>
        <v>0</v>
      </c>
      <c r="R28" s="474">
        <f t="shared" si="12"/>
        <v>0</v>
      </c>
      <c r="S28" s="474">
        <f t="shared" si="13"/>
        <v>0</v>
      </c>
      <c r="T28" s="474">
        <f t="shared" si="13"/>
        <v>0</v>
      </c>
      <c r="U28" s="474">
        <f t="shared" si="14"/>
        <v>0</v>
      </c>
      <c r="V28" s="473">
        <f t="shared" si="15"/>
        <v>0</v>
      </c>
      <c r="W28" s="473">
        <f t="shared" si="16"/>
        <v>0</v>
      </c>
      <c r="X28" s="475">
        <f t="shared" si="17"/>
        <v>0</v>
      </c>
      <c r="Z28" s="377">
        <f t="shared" si="0"/>
        <v>0</v>
      </c>
      <c r="AA28" s="348">
        <f>'PLANILHA GERAL'!$J$25</f>
        <v>371.29</v>
      </c>
      <c r="AB28" s="348">
        <f>'PLANILHA GERAL'!$J$44</f>
        <v>113.04</v>
      </c>
      <c r="AC28" s="348">
        <f>'PLANILHA GERAL'!$J$26</f>
        <v>161.68</v>
      </c>
      <c r="AD28" s="348">
        <f>'PLANILHA GERAL'!$J$43</f>
        <v>219.78</v>
      </c>
      <c r="AE28" s="348">
        <f t="shared" si="6"/>
        <v>0</v>
      </c>
      <c r="AG28" s="348">
        <f>'PLANILHA GERAL'!$J$45</f>
        <v>20.28</v>
      </c>
      <c r="AH28" s="348">
        <f>'PLANILHA GERAL'!$J$46</f>
        <v>48.14</v>
      </c>
      <c r="AI28" s="348">
        <f>'PLANILHA GERAL'!$J$47</f>
        <v>56.52</v>
      </c>
      <c r="AJ28" s="348">
        <f>'PLANILHA GERAL'!$J$26</f>
        <v>161.68</v>
      </c>
      <c r="AK28" s="348">
        <f t="shared" si="7"/>
        <v>0</v>
      </c>
      <c r="AM28" s="348">
        <f>'PLANILHA GERAL'!$J$143</f>
        <v>13.47</v>
      </c>
      <c r="AN28" s="348">
        <f>'PLANILHA GERAL'!$J$144</f>
        <v>4.4000000000000004</v>
      </c>
      <c r="AO28" s="348">
        <f>'PLANILHA GERAL'!$J$145</f>
        <v>3339.24</v>
      </c>
      <c r="AP28" s="348">
        <f>'PLANILHA GERAL'!$J$146</f>
        <v>2.98</v>
      </c>
      <c r="AQ28" s="348">
        <f>'PLANILHA GERAL'!$J$147</f>
        <v>8.8800000000000008</v>
      </c>
      <c r="AR28" s="348">
        <f>'PLANILHA GERAL'!$J$148</f>
        <v>576.21</v>
      </c>
      <c r="AS28" s="348">
        <f>'PLANILHA GERAL'!$J$150</f>
        <v>26.91</v>
      </c>
      <c r="AT28" s="348">
        <f>'PLANILHA GERAL'!$J$151</f>
        <v>11.62</v>
      </c>
      <c r="AU28" s="348">
        <f>'PLANILHA GERAL'!$J$152</f>
        <v>3.7</v>
      </c>
      <c r="AV28" s="348">
        <f t="shared" si="8"/>
        <v>0</v>
      </c>
    </row>
    <row r="29" spans="1:48" s="359" customFormat="1" ht="94.5" hidden="1" customHeight="1" thickTop="1" thickBot="1">
      <c r="A29" s="470">
        <f>DADOS!A23</f>
        <v>0</v>
      </c>
      <c r="B29" s="471"/>
      <c r="C29" s="472">
        <f>DADOS!E23</f>
        <v>0</v>
      </c>
      <c r="D29" s="473">
        <f>DADOS!F23</f>
        <v>0</v>
      </c>
      <c r="E29" s="473"/>
      <c r="F29" s="473">
        <f t="shared" si="1"/>
        <v>0</v>
      </c>
      <c r="G29" s="473">
        <f t="shared" si="2"/>
        <v>0</v>
      </c>
      <c r="H29" s="473">
        <f t="shared" si="3"/>
        <v>0</v>
      </c>
      <c r="I29" s="473">
        <f t="shared" si="4"/>
        <v>0</v>
      </c>
      <c r="J29" s="473">
        <f t="shared" si="18"/>
        <v>0</v>
      </c>
      <c r="K29" s="473">
        <f t="shared" si="19"/>
        <v>0</v>
      </c>
      <c r="L29" s="473">
        <f t="shared" si="5"/>
        <v>0</v>
      </c>
      <c r="M29" s="473">
        <f>C29*(D29-0.43*2)</f>
        <v>0</v>
      </c>
      <c r="N29" s="473">
        <f t="shared" si="9"/>
        <v>0</v>
      </c>
      <c r="O29" s="500">
        <v>3.5000000000000003E-2</v>
      </c>
      <c r="P29" s="473">
        <f t="shared" si="10"/>
        <v>0</v>
      </c>
      <c r="Q29" s="474">
        <f t="shared" si="11"/>
        <v>0</v>
      </c>
      <c r="R29" s="474">
        <f t="shared" si="12"/>
        <v>0</v>
      </c>
      <c r="S29" s="474">
        <f t="shared" si="13"/>
        <v>0</v>
      </c>
      <c r="T29" s="474">
        <f t="shared" si="13"/>
        <v>0</v>
      </c>
      <c r="U29" s="474">
        <f t="shared" si="14"/>
        <v>0</v>
      </c>
      <c r="V29" s="473">
        <f t="shared" si="15"/>
        <v>0</v>
      </c>
      <c r="W29" s="473">
        <f t="shared" si="16"/>
        <v>0</v>
      </c>
      <c r="X29" s="475">
        <f t="shared" si="17"/>
        <v>0</v>
      </c>
      <c r="Z29" s="377">
        <f t="shared" si="0"/>
        <v>0</v>
      </c>
      <c r="AA29" s="348">
        <f>'PLANILHA GERAL'!$J$25</f>
        <v>371.29</v>
      </c>
      <c r="AB29" s="348">
        <f>'PLANILHA GERAL'!$J$44</f>
        <v>113.04</v>
      </c>
      <c r="AC29" s="348">
        <f>'PLANILHA GERAL'!$J$26</f>
        <v>161.68</v>
      </c>
      <c r="AD29" s="348">
        <f>'PLANILHA GERAL'!$J$43</f>
        <v>219.78</v>
      </c>
      <c r="AE29" s="348">
        <f t="shared" si="6"/>
        <v>0</v>
      </c>
      <c r="AG29" s="348">
        <f>'PLANILHA GERAL'!$J$45</f>
        <v>20.28</v>
      </c>
      <c r="AH29" s="348">
        <f>'PLANILHA GERAL'!$J$46</f>
        <v>48.14</v>
      </c>
      <c r="AI29" s="348">
        <f>'PLANILHA GERAL'!$J$47</f>
        <v>56.52</v>
      </c>
      <c r="AJ29" s="348">
        <f>'PLANILHA GERAL'!$J$26</f>
        <v>161.68</v>
      </c>
      <c r="AK29" s="348">
        <f t="shared" si="7"/>
        <v>0</v>
      </c>
      <c r="AM29" s="348">
        <f>'PLANILHA GERAL'!$J$143</f>
        <v>13.47</v>
      </c>
      <c r="AN29" s="348">
        <f>'PLANILHA GERAL'!$J$144</f>
        <v>4.4000000000000004</v>
      </c>
      <c r="AO29" s="348">
        <f>'PLANILHA GERAL'!$J$145</f>
        <v>3339.24</v>
      </c>
      <c r="AP29" s="348">
        <f>'PLANILHA GERAL'!$J$146</f>
        <v>2.98</v>
      </c>
      <c r="AQ29" s="348">
        <f>'PLANILHA GERAL'!$J$147</f>
        <v>8.8800000000000008</v>
      </c>
      <c r="AR29" s="348">
        <f>'PLANILHA GERAL'!$J$148</f>
        <v>576.21</v>
      </c>
      <c r="AS29" s="348">
        <f>'PLANILHA GERAL'!$J$150</f>
        <v>26.91</v>
      </c>
      <c r="AT29" s="348">
        <f>'PLANILHA GERAL'!$J$151</f>
        <v>11.62</v>
      </c>
      <c r="AU29" s="348">
        <f>'PLANILHA GERAL'!$J$152</f>
        <v>3.7</v>
      </c>
      <c r="AV29" s="348">
        <f t="shared" si="8"/>
        <v>0</v>
      </c>
    </row>
    <row r="30" spans="1:48" s="359" customFormat="1" ht="97.5" hidden="1" customHeight="1" thickTop="1" thickBot="1">
      <c r="A30" s="470">
        <f>DADOS!A24</f>
        <v>0</v>
      </c>
      <c r="B30" s="471"/>
      <c r="C30" s="472">
        <f>DADOS!E24</f>
        <v>0</v>
      </c>
      <c r="D30" s="473">
        <f>DADOS!F24</f>
        <v>0</v>
      </c>
      <c r="E30" s="473"/>
      <c r="F30" s="473">
        <f t="shared" si="1"/>
        <v>0</v>
      </c>
      <c r="G30" s="473">
        <f t="shared" si="2"/>
        <v>0</v>
      </c>
      <c r="H30" s="473">
        <f>C30*E30*2</f>
        <v>0</v>
      </c>
      <c r="I30" s="473">
        <f t="shared" si="4"/>
        <v>0</v>
      </c>
      <c r="J30" s="473">
        <f t="shared" si="18"/>
        <v>0</v>
      </c>
      <c r="K30" s="473">
        <f t="shared" si="19"/>
        <v>0</v>
      </c>
      <c r="L30" s="473">
        <f t="shared" si="5"/>
        <v>0</v>
      </c>
      <c r="M30" s="473">
        <f>C30*(D30-0.43*2)*0</f>
        <v>0</v>
      </c>
      <c r="N30" s="473">
        <f t="shared" si="9"/>
        <v>0</v>
      </c>
      <c r="O30" s="500">
        <v>3.5000000000000003E-2</v>
      </c>
      <c r="P30" s="473">
        <f t="shared" si="10"/>
        <v>0</v>
      </c>
      <c r="Q30" s="474">
        <f t="shared" si="11"/>
        <v>0</v>
      </c>
      <c r="R30" s="474">
        <f t="shared" si="12"/>
        <v>0</v>
      </c>
      <c r="S30" s="474">
        <f t="shared" si="13"/>
        <v>0</v>
      </c>
      <c r="T30" s="474">
        <f t="shared" si="13"/>
        <v>0</v>
      </c>
      <c r="U30" s="474">
        <f t="shared" si="14"/>
        <v>0</v>
      </c>
      <c r="V30" s="473">
        <f t="shared" si="15"/>
        <v>0</v>
      </c>
      <c r="W30" s="473">
        <f t="shared" si="16"/>
        <v>0</v>
      </c>
      <c r="X30" s="475">
        <f t="shared" si="17"/>
        <v>0</v>
      </c>
      <c r="Z30" s="377">
        <f t="shared" si="0"/>
        <v>0</v>
      </c>
      <c r="AA30" s="348">
        <f>'PLANILHA GERAL'!$J$25</f>
        <v>371.29</v>
      </c>
      <c r="AB30" s="348">
        <f>'PLANILHA GERAL'!$J$44</f>
        <v>113.04</v>
      </c>
      <c r="AC30" s="348">
        <f>'PLANILHA GERAL'!$J$26</f>
        <v>161.68</v>
      </c>
      <c r="AD30" s="348">
        <f>'PLANILHA GERAL'!$J$43</f>
        <v>219.78</v>
      </c>
      <c r="AE30" s="348">
        <f t="shared" si="6"/>
        <v>0</v>
      </c>
      <c r="AG30" s="348">
        <f>'PLANILHA GERAL'!$J$45</f>
        <v>20.28</v>
      </c>
      <c r="AH30" s="348">
        <f>'PLANILHA GERAL'!$J$46</f>
        <v>48.14</v>
      </c>
      <c r="AI30" s="348">
        <f>'PLANILHA GERAL'!$J$47</f>
        <v>56.52</v>
      </c>
      <c r="AJ30" s="348">
        <f>'PLANILHA GERAL'!$J$26</f>
        <v>161.68</v>
      </c>
      <c r="AK30" s="348">
        <f t="shared" si="7"/>
        <v>0</v>
      </c>
      <c r="AM30" s="348">
        <f>'PLANILHA GERAL'!$J$143</f>
        <v>13.47</v>
      </c>
      <c r="AN30" s="348">
        <f>'PLANILHA GERAL'!$J$144</f>
        <v>4.4000000000000004</v>
      </c>
      <c r="AO30" s="348">
        <f>'PLANILHA GERAL'!$J$145</f>
        <v>3339.24</v>
      </c>
      <c r="AP30" s="348">
        <f>'PLANILHA GERAL'!$J$146</f>
        <v>2.98</v>
      </c>
      <c r="AQ30" s="348">
        <f>'PLANILHA GERAL'!$J$147</f>
        <v>8.8800000000000008</v>
      </c>
      <c r="AR30" s="348">
        <f>'PLANILHA GERAL'!$J$148</f>
        <v>576.21</v>
      </c>
      <c r="AS30" s="348">
        <f>'PLANILHA GERAL'!$J$150</f>
        <v>26.91</v>
      </c>
      <c r="AT30" s="348">
        <f>'PLANILHA GERAL'!$J$151</f>
        <v>11.62</v>
      </c>
      <c r="AU30" s="348">
        <f>'PLANILHA GERAL'!$J$152</f>
        <v>3.7</v>
      </c>
      <c r="AV30" s="348">
        <f t="shared" si="8"/>
        <v>0</v>
      </c>
    </row>
    <row r="31" spans="1:48" s="359" customFormat="1" ht="100.5" hidden="1" customHeight="1" thickTop="1" thickBot="1">
      <c r="A31" s="470">
        <f>DADOS!A25</f>
        <v>0</v>
      </c>
      <c r="B31" s="471"/>
      <c r="C31" s="472">
        <f>DADOS!E25</f>
        <v>0</v>
      </c>
      <c r="D31" s="473">
        <f>DADOS!F25</f>
        <v>0</v>
      </c>
      <c r="E31" s="473"/>
      <c r="F31" s="473">
        <f t="shared" si="1"/>
        <v>0</v>
      </c>
      <c r="G31" s="473">
        <f t="shared" si="2"/>
        <v>0</v>
      </c>
      <c r="H31" s="473">
        <f t="shared" si="3"/>
        <v>0</v>
      </c>
      <c r="I31" s="473">
        <f t="shared" si="4"/>
        <v>0</v>
      </c>
      <c r="J31" s="473">
        <f t="shared" si="18"/>
        <v>0</v>
      </c>
      <c r="K31" s="473">
        <f t="shared" si="19"/>
        <v>0</v>
      </c>
      <c r="L31" s="473">
        <f t="shared" si="5"/>
        <v>0</v>
      </c>
      <c r="M31" s="473">
        <f>C31*(D31-0.43*2)</f>
        <v>0</v>
      </c>
      <c r="N31" s="473">
        <f t="shared" si="9"/>
        <v>0</v>
      </c>
      <c r="O31" s="500">
        <v>3.5000000000000003E-2</v>
      </c>
      <c r="P31" s="473">
        <f t="shared" si="10"/>
        <v>0</v>
      </c>
      <c r="Q31" s="474">
        <f t="shared" si="11"/>
        <v>0</v>
      </c>
      <c r="R31" s="474">
        <f t="shared" si="12"/>
        <v>0</v>
      </c>
      <c r="S31" s="474">
        <f t="shared" si="13"/>
        <v>0</v>
      </c>
      <c r="T31" s="474">
        <f t="shared" si="13"/>
        <v>0</v>
      </c>
      <c r="U31" s="474">
        <f t="shared" si="14"/>
        <v>0</v>
      </c>
      <c r="V31" s="473">
        <f t="shared" si="15"/>
        <v>0</v>
      </c>
      <c r="W31" s="473">
        <f>V31*1.3*$W$15</f>
        <v>0</v>
      </c>
      <c r="X31" s="475">
        <f t="shared" si="17"/>
        <v>0</v>
      </c>
      <c r="Z31" s="377">
        <f t="shared" si="0"/>
        <v>0</v>
      </c>
      <c r="AA31" s="348">
        <f>'PLANILHA GERAL'!$J$25</f>
        <v>371.29</v>
      </c>
      <c r="AB31" s="348">
        <f>'PLANILHA GERAL'!$J$44</f>
        <v>113.04</v>
      </c>
      <c r="AC31" s="348">
        <f>'PLANILHA GERAL'!$J$26</f>
        <v>161.68</v>
      </c>
      <c r="AD31" s="348">
        <f>'PLANILHA GERAL'!$J$43</f>
        <v>219.78</v>
      </c>
      <c r="AE31" s="348">
        <f t="shared" si="6"/>
        <v>0</v>
      </c>
      <c r="AG31" s="348">
        <f>'PLANILHA GERAL'!$J$45</f>
        <v>20.28</v>
      </c>
      <c r="AH31" s="348">
        <f>'PLANILHA GERAL'!$J$46</f>
        <v>48.14</v>
      </c>
      <c r="AI31" s="348">
        <f>'PLANILHA GERAL'!$J$47</f>
        <v>56.52</v>
      </c>
      <c r="AJ31" s="348">
        <f>'PLANILHA GERAL'!$J$26</f>
        <v>161.68</v>
      </c>
      <c r="AK31" s="348">
        <f t="shared" si="7"/>
        <v>0</v>
      </c>
      <c r="AM31" s="348">
        <f>'PLANILHA GERAL'!$J$143</f>
        <v>13.47</v>
      </c>
      <c r="AN31" s="348">
        <f>'PLANILHA GERAL'!$J$144</f>
        <v>4.4000000000000004</v>
      </c>
      <c r="AO31" s="348">
        <f>'PLANILHA GERAL'!$J$145</f>
        <v>3339.24</v>
      </c>
      <c r="AP31" s="348">
        <f>'PLANILHA GERAL'!$J$146</f>
        <v>2.98</v>
      </c>
      <c r="AQ31" s="348">
        <f>'PLANILHA GERAL'!$J$147</f>
        <v>8.8800000000000008</v>
      </c>
      <c r="AR31" s="348">
        <f>'PLANILHA GERAL'!$J$148</f>
        <v>576.21</v>
      </c>
      <c r="AS31" s="348">
        <f>'PLANILHA GERAL'!$J$150</f>
        <v>26.91</v>
      </c>
      <c r="AT31" s="348">
        <f>'PLANILHA GERAL'!$J$151</f>
        <v>11.62</v>
      </c>
      <c r="AU31" s="348">
        <f>'PLANILHA GERAL'!$J$152</f>
        <v>3.7</v>
      </c>
      <c r="AV31" s="348">
        <f t="shared" si="8"/>
        <v>0</v>
      </c>
    </row>
    <row r="32" spans="1:48" s="359" customFormat="1" ht="100.5" hidden="1" customHeight="1" thickTop="1" thickBot="1">
      <c r="A32" s="470">
        <f>DADOS!A26</f>
        <v>0</v>
      </c>
      <c r="B32" s="471">
        <f>DADOS!B26</f>
        <v>0</v>
      </c>
      <c r="C32" s="472">
        <f>DADOS!E26</f>
        <v>0</v>
      </c>
      <c r="D32" s="473">
        <f>DADOS!F26</f>
        <v>0</v>
      </c>
      <c r="E32" s="473"/>
      <c r="F32" s="473">
        <f t="shared" si="1"/>
        <v>0</v>
      </c>
      <c r="G32" s="473">
        <f t="shared" si="2"/>
        <v>0</v>
      </c>
      <c r="H32" s="473">
        <f>C32*E32*2*40%</f>
        <v>0</v>
      </c>
      <c r="I32" s="473">
        <f t="shared" si="4"/>
        <v>0</v>
      </c>
      <c r="J32" s="473">
        <f>C32*2</f>
        <v>0</v>
      </c>
      <c r="K32" s="473">
        <f>C32*2</f>
        <v>0</v>
      </c>
      <c r="L32" s="473">
        <f t="shared" si="5"/>
        <v>0</v>
      </c>
      <c r="M32" s="473">
        <f>C32*(D32-0.43*2)*0</f>
        <v>0</v>
      </c>
      <c r="N32" s="473">
        <f t="shared" si="9"/>
        <v>0</v>
      </c>
      <c r="O32" s="500">
        <v>3.5000000000000003E-2</v>
      </c>
      <c r="P32" s="473">
        <f t="shared" si="10"/>
        <v>0</v>
      </c>
      <c r="Q32" s="474">
        <f t="shared" si="11"/>
        <v>0</v>
      </c>
      <c r="R32" s="474">
        <f t="shared" si="12"/>
        <v>0</v>
      </c>
      <c r="S32" s="474">
        <f t="shared" si="13"/>
        <v>0</v>
      </c>
      <c r="T32" s="474">
        <f t="shared" si="13"/>
        <v>0</v>
      </c>
      <c r="U32" s="474">
        <f t="shared" si="14"/>
        <v>0</v>
      </c>
      <c r="V32" s="473">
        <f t="shared" si="15"/>
        <v>0</v>
      </c>
      <c r="W32" s="473">
        <f t="shared" si="16"/>
        <v>0</v>
      </c>
      <c r="X32" s="475">
        <f t="shared" si="17"/>
        <v>0</v>
      </c>
      <c r="Z32" s="377">
        <f t="shared" si="0"/>
        <v>0</v>
      </c>
      <c r="AA32" s="348">
        <f>'PLANILHA GERAL'!$J$25</f>
        <v>371.29</v>
      </c>
      <c r="AB32" s="348">
        <f>'PLANILHA GERAL'!$J$44</f>
        <v>113.04</v>
      </c>
      <c r="AC32" s="348">
        <f>'PLANILHA GERAL'!$J$26</f>
        <v>161.68</v>
      </c>
      <c r="AD32" s="348">
        <f>'PLANILHA GERAL'!$J$43</f>
        <v>219.78</v>
      </c>
      <c r="AE32" s="348">
        <f t="shared" si="6"/>
        <v>0</v>
      </c>
      <c r="AG32" s="348">
        <f>'PLANILHA GERAL'!$J$45</f>
        <v>20.28</v>
      </c>
      <c r="AH32" s="348">
        <f>'PLANILHA GERAL'!$J$46</f>
        <v>48.14</v>
      </c>
      <c r="AI32" s="348">
        <f>'PLANILHA GERAL'!$J$47</f>
        <v>56.52</v>
      </c>
      <c r="AJ32" s="348">
        <f>'PLANILHA GERAL'!$J$26</f>
        <v>161.68</v>
      </c>
      <c r="AK32" s="348">
        <f t="shared" si="7"/>
        <v>0</v>
      </c>
      <c r="AM32" s="348">
        <f>'PLANILHA GERAL'!$J$143</f>
        <v>13.47</v>
      </c>
      <c r="AN32" s="348">
        <f>'PLANILHA GERAL'!$J$144</f>
        <v>4.4000000000000004</v>
      </c>
      <c r="AO32" s="348">
        <f>'PLANILHA GERAL'!$J$145</f>
        <v>3339.24</v>
      </c>
      <c r="AP32" s="348">
        <f>'PLANILHA GERAL'!$J$146</f>
        <v>2.98</v>
      </c>
      <c r="AQ32" s="348">
        <f>'PLANILHA GERAL'!$J$147</f>
        <v>8.8800000000000008</v>
      </c>
      <c r="AR32" s="348">
        <f>'PLANILHA GERAL'!$J$148</f>
        <v>576.21</v>
      </c>
      <c r="AS32" s="348">
        <f>'PLANILHA GERAL'!$J$150</f>
        <v>26.91</v>
      </c>
      <c r="AT32" s="348">
        <f>'PLANILHA GERAL'!$J$151</f>
        <v>11.62</v>
      </c>
      <c r="AU32" s="348">
        <f>'PLANILHA GERAL'!$J$152</f>
        <v>3.7</v>
      </c>
      <c r="AV32" s="348">
        <f t="shared" si="8"/>
        <v>0</v>
      </c>
    </row>
    <row r="33" spans="1:48" s="359" customFormat="1" ht="80.099999999999994" hidden="1" customHeight="1" thickTop="1" thickBot="1">
      <c r="A33" s="470">
        <f>DADOS!A27</f>
        <v>0</v>
      </c>
      <c r="B33" s="471">
        <f>DADOS!B27</f>
        <v>0</v>
      </c>
      <c r="C33" s="472">
        <f>DADOS!E27</f>
        <v>0</v>
      </c>
      <c r="D33" s="473">
        <f>DADOS!F27</f>
        <v>0</v>
      </c>
      <c r="E33" s="473"/>
      <c r="F33" s="473">
        <f t="shared" si="1"/>
        <v>0</v>
      </c>
      <c r="G33" s="473">
        <f t="shared" si="2"/>
        <v>0</v>
      </c>
      <c r="H33" s="473">
        <f>C33*E33*2*40%</f>
        <v>0</v>
      </c>
      <c r="I33" s="473">
        <f t="shared" si="4"/>
        <v>0</v>
      </c>
      <c r="J33" s="473">
        <f>C33*2*30%</f>
        <v>0</v>
      </c>
      <c r="K33" s="473">
        <f>C33*2*30%</f>
        <v>0</v>
      </c>
      <c r="L33" s="473">
        <f t="shared" si="5"/>
        <v>0</v>
      </c>
      <c r="M33" s="473">
        <f>C33*(D33-0.43*2)*0</f>
        <v>0</v>
      </c>
      <c r="N33" s="473">
        <f t="shared" si="9"/>
        <v>0</v>
      </c>
      <c r="O33" s="500">
        <v>3.5000000000000003E-2</v>
      </c>
      <c r="P33" s="473">
        <f t="shared" si="10"/>
        <v>0</v>
      </c>
      <c r="Q33" s="474">
        <f t="shared" si="11"/>
        <v>0</v>
      </c>
      <c r="R33" s="474">
        <f t="shared" si="12"/>
        <v>0</v>
      </c>
      <c r="S33" s="474">
        <f t="shared" si="13"/>
        <v>0</v>
      </c>
      <c r="T33" s="474">
        <f t="shared" si="13"/>
        <v>0</v>
      </c>
      <c r="U33" s="474">
        <f t="shared" si="14"/>
        <v>0</v>
      </c>
      <c r="V33" s="473">
        <f t="shared" si="15"/>
        <v>0</v>
      </c>
      <c r="W33" s="473">
        <f t="shared" si="16"/>
        <v>0</v>
      </c>
      <c r="X33" s="475">
        <f t="shared" si="17"/>
        <v>0</v>
      </c>
      <c r="Z33" s="377">
        <f t="shared" si="0"/>
        <v>0</v>
      </c>
      <c r="AA33" s="348">
        <f>'PLANILHA GERAL'!$J$25</f>
        <v>371.29</v>
      </c>
      <c r="AB33" s="348">
        <f>'PLANILHA GERAL'!$J$44</f>
        <v>113.04</v>
      </c>
      <c r="AC33" s="348">
        <f>'PLANILHA GERAL'!$J$26</f>
        <v>161.68</v>
      </c>
      <c r="AD33" s="348">
        <f>'PLANILHA GERAL'!$J$43</f>
        <v>219.78</v>
      </c>
      <c r="AE33" s="348">
        <f t="shared" si="6"/>
        <v>0</v>
      </c>
      <c r="AG33" s="348">
        <f>'PLANILHA GERAL'!$J$45</f>
        <v>20.28</v>
      </c>
      <c r="AH33" s="348">
        <f>'PLANILHA GERAL'!$J$46</f>
        <v>48.14</v>
      </c>
      <c r="AI33" s="348">
        <f>'PLANILHA GERAL'!$J$47</f>
        <v>56.52</v>
      </c>
      <c r="AJ33" s="348">
        <f>'PLANILHA GERAL'!$J$26</f>
        <v>161.68</v>
      </c>
      <c r="AK33" s="348">
        <f t="shared" si="7"/>
        <v>0</v>
      </c>
      <c r="AM33" s="348">
        <f>'PLANILHA GERAL'!$J$143</f>
        <v>13.47</v>
      </c>
      <c r="AN33" s="348">
        <f>'PLANILHA GERAL'!$J$144</f>
        <v>4.4000000000000004</v>
      </c>
      <c r="AO33" s="348">
        <f>'PLANILHA GERAL'!$J$145</f>
        <v>3339.24</v>
      </c>
      <c r="AP33" s="348">
        <f>'PLANILHA GERAL'!$J$146</f>
        <v>2.98</v>
      </c>
      <c r="AQ33" s="348">
        <f>'PLANILHA GERAL'!$J$147</f>
        <v>8.8800000000000008</v>
      </c>
      <c r="AR33" s="348">
        <f>'PLANILHA GERAL'!$J$148</f>
        <v>576.21</v>
      </c>
      <c r="AS33" s="348">
        <f>'PLANILHA GERAL'!$J$150</f>
        <v>26.91</v>
      </c>
      <c r="AT33" s="348">
        <f>'PLANILHA GERAL'!$J$151</f>
        <v>11.62</v>
      </c>
      <c r="AU33" s="348">
        <f>'PLANILHA GERAL'!$J$152</f>
        <v>3.7</v>
      </c>
      <c r="AV33" s="348">
        <f t="shared" si="8"/>
        <v>0</v>
      </c>
    </row>
    <row r="34" spans="1:48" ht="80.099999999999994" hidden="1" customHeight="1" thickTop="1" thickBot="1">
      <c r="A34" s="470">
        <f>DADOS!A28</f>
        <v>0</v>
      </c>
      <c r="B34" s="471">
        <f>DADOS!B28</f>
        <v>0</v>
      </c>
      <c r="C34" s="472">
        <f>DADOS!E28</f>
        <v>0</v>
      </c>
      <c r="D34" s="473">
        <f>DADOS!F28</f>
        <v>0</v>
      </c>
      <c r="E34" s="473"/>
      <c r="F34" s="473">
        <f t="shared" si="1"/>
        <v>0</v>
      </c>
      <c r="G34" s="473">
        <f t="shared" si="2"/>
        <v>0</v>
      </c>
      <c r="H34" s="473">
        <f t="shared" si="3"/>
        <v>0</v>
      </c>
      <c r="I34" s="473">
        <f t="shared" si="4"/>
        <v>0</v>
      </c>
      <c r="J34" s="473">
        <f>C34*2*0</f>
        <v>0</v>
      </c>
      <c r="K34" s="473">
        <f>C34*2*0</f>
        <v>0</v>
      </c>
      <c r="L34" s="473">
        <f t="shared" si="5"/>
        <v>0</v>
      </c>
      <c r="M34" s="473">
        <f>C34*(D34-0.43*2)*0</f>
        <v>0</v>
      </c>
      <c r="N34" s="473">
        <f t="shared" si="9"/>
        <v>0</v>
      </c>
      <c r="O34" s="500">
        <v>3.5000000000000003E-2</v>
      </c>
      <c r="P34" s="473">
        <f t="shared" si="10"/>
        <v>0</v>
      </c>
      <c r="Q34" s="474">
        <f t="shared" si="11"/>
        <v>0</v>
      </c>
      <c r="R34" s="474">
        <f t="shared" si="12"/>
        <v>0</v>
      </c>
      <c r="S34" s="474">
        <f t="shared" si="13"/>
        <v>0</v>
      </c>
      <c r="T34" s="474">
        <f t="shared" si="13"/>
        <v>0</v>
      </c>
      <c r="U34" s="474">
        <f t="shared" si="14"/>
        <v>0</v>
      </c>
      <c r="V34" s="473">
        <f t="shared" si="15"/>
        <v>0</v>
      </c>
      <c r="W34" s="473">
        <f t="shared" si="16"/>
        <v>0</v>
      </c>
      <c r="X34" s="475">
        <f t="shared" si="17"/>
        <v>0</v>
      </c>
      <c r="Z34" s="377">
        <f t="shared" si="0"/>
        <v>0</v>
      </c>
      <c r="AA34" s="348">
        <f>'PLANILHA GERAL'!$J$25</f>
        <v>371.29</v>
      </c>
      <c r="AB34" s="348">
        <f>'PLANILHA GERAL'!$J$44</f>
        <v>113.04</v>
      </c>
      <c r="AC34" s="348">
        <f>'PLANILHA GERAL'!$J$26</f>
        <v>161.68</v>
      </c>
      <c r="AD34" s="348">
        <f>'PLANILHA GERAL'!$J$43</f>
        <v>219.78</v>
      </c>
      <c r="AE34" s="348">
        <f t="shared" si="6"/>
        <v>0</v>
      </c>
      <c r="AG34" s="348">
        <f>'PLANILHA GERAL'!$J$45</f>
        <v>20.28</v>
      </c>
      <c r="AH34" s="348">
        <f>'PLANILHA GERAL'!$J$46</f>
        <v>48.14</v>
      </c>
      <c r="AI34" s="348">
        <f>'PLANILHA GERAL'!$J$47</f>
        <v>56.52</v>
      </c>
      <c r="AJ34" s="348">
        <f>'PLANILHA GERAL'!$J$26</f>
        <v>161.68</v>
      </c>
      <c r="AK34" s="348">
        <f t="shared" si="7"/>
        <v>0</v>
      </c>
      <c r="AM34" s="348">
        <f>'PLANILHA GERAL'!$J$143</f>
        <v>13.47</v>
      </c>
      <c r="AN34" s="348">
        <f>'PLANILHA GERAL'!$J$144</f>
        <v>4.4000000000000004</v>
      </c>
      <c r="AO34" s="348">
        <f>'PLANILHA GERAL'!$J$145</f>
        <v>3339.24</v>
      </c>
      <c r="AP34" s="348">
        <f>'PLANILHA GERAL'!$J$146</f>
        <v>2.98</v>
      </c>
      <c r="AQ34" s="348">
        <f>'PLANILHA GERAL'!$J$147</f>
        <v>8.8800000000000008</v>
      </c>
      <c r="AR34" s="348">
        <f>'PLANILHA GERAL'!$J$148</f>
        <v>576.21</v>
      </c>
      <c r="AS34" s="348">
        <f>'PLANILHA GERAL'!$J$150</f>
        <v>26.91</v>
      </c>
      <c r="AT34" s="348">
        <f>'PLANILHA GERAL'!$J$151</f>
        <v>11.62</v>
      </c>
      <c r="AU34" s="348">
        <f>'PLANILHA GERAL'!$J$152</f>
        <v>3.7</v>
      </c>
      <c r="AV34" s="348">
        <f t="shared" si="8"/>
        <v>0</v>
      </c>
    </row>
    <row r="35" spans="1:48" ht="80.099999999999994" hidden="1" customHeight="1" thickTop="1" thickBot="1">
      <c r="A35" s="470">
        <f>DADOS!A29</f>
        <v>0</v>
      </c>
      <c r="B35" s="471">
        <f>DADOS!B29</f>
        <v>0</v>
      </c>
      <c r="C35" s="472">
        <f>DADOS!E29</f>
        <v>0</v>
      </c>
      <c r="D35" s="473">
        <f>DADOS!F29</f>
        <v>0</v>
      </c>
      <c r="E35" s="473"/>
      <c r="F35" s="473">
        <f t="shared" si="1"/>
        <v>0</v>
      </c>
      <c r="G35" s="473">
        <f t="shared" si="2"/>
        <v>0</v>
      </c>
      <c r="H35" s="473">
        <f>C35*E35*2</f>
        <v>0</v>
      </c>
      <c r="I35" s="473">
        <f t="shared" si="4"/>
        <v>0</v>
      </c>
      <c r="J35" s="473">
        <f>C35*2</f>
        <v>0</v>
      </c>
      <c r="K35" s="473">
        <f>C35*2</f>
        <v>0</v>
      </c>
      <c r="L35" s="473">
        <f t="shared" si="5"/>
        <v>0</v>
      </c>
      <c r="M35" s="473">
        <f>C35*(D35-0.43*2)*0</f>
        <v>0</v>
      </c>
      <c r="N35" s="473">
        <f t="shared" si="9"/>
        <v>0</v>
      </c>
      <c r="O35" s="500">
        <v>3.5000000000000003E-2</v>
      </c>
      <c r="P35" s="473">
        <f t="shared" si="10"/>
        <v>0</v>
      </c>
      <c r="Q35" s="474">
        <f t="shared" si="11"/>
        <v>0</v>
      </c>
      <c r="R35" s="474">
        <f t="shared" si="12"/>
        <v>0</v>
      </c>
      <c r="S35" s="474">
        <f t="shared" si="13"/>
        <v>0</v>
      </c>
      <c r="T35" s="474">
        <f t="shared" si="13"/>
        <v>0</v>
      </c>
      <c r="U35" s="474">
        <f t="shared" si="14"/>
        <v>0</v>
      </c>
      <c r="V35" s="473">
        <f t="shared" si="15"/>
        <v>0</v>
      </c>
      <c r="W35" s="473">
        <f t="shared" si="16"/>
        <v>0</v>
      </c>
      <c r="X35" s="475">
        <f t="shared" si="17"/>
        <v>0</v>
      </c>
      <c r="Z35" s="377">
        <f t="shared" si="0"/>
        <v>0</v>
      </c>
      <c r="AA35" s="348">
        <f>'PLANILHA GERAL'!$J$25</f>
        <v>371.29</v>
      </c>
      <c r="AB35" s="348">
        <f>'PLANILHA GERAL'!$J$44</f>
        <v>113.04</v>
      </c>
      <c r="AC35" s="348">
        <f>'PLANILHA GERAL'!$J$26</f>
        <v>161.68</v>
      </c>
      <c r="AD35" s="348">
        <f>'PLANILHA GERAL'!$J$43</f>
        <v>219.78</v>
      </c>
      <c r="AE35" s="348">
        <f t="shared" si="6"/>
        <v>0</v>
      </c>
      <c r="AG35" s="348">
        <f>'PLANILHA GERAL'!$J$45</f>
        <v>20.28</v>
      </c>
      <c r="AH35" s="348">
        <f>'PLANILHA GERAL'!$J$46</f>
        <v>48.14</v>
      </c>
      <c r="AI35" s="348">
        <f>'PLANILHA GERAL'!$J$47</f>
        <v>56.52</v>
      </c>
      <c r="AJ35" s="348">
        <f>'PLANILHA GERAL'!$J$26</f>
        <v>161.68</v>
      </c>
      <c r="AK35" s="348">
        <f t="shared" si="7"/>
        <v>0</v>
      </c>
      <c r="AM35" s="348">
        <f>'PLANILHA GERAL'!$J$143</f>
        <v>13.47</v>
      </c>
      <c r="AN35" s="348">
        <f>'PLANILHA GERAL'!$J$144</f>
        <v>4.4000000000000004</v>
      </c>
      <c r="AO35" s="348">
        <f>'PLANILHA GERAL'!$J$145</f>
        <v>3339.24</v>
      </c>
      <c r="AP35" s="348">
        <f>'PLANILHA GERAL'!$J$146</f>
        <v>2.98</v>
      </c>
      <c r="AQ35" s="348">
        <f>'PLANILHA GERAL'!$J$147</f>
        <v>8.8800000000000008</v>
      </c>
      <c r="AR35" s="348">
        <f>'PLANILHA GERAL'!$J$148</f>
        <v>576.21</v>
      </c>
      <c r="AS35" s="348">
        <f>'PLANILHA GERAL'!$J$150</f>
        <v>26.91</v>
      </c>
      <c r="AT35" s="348">
        <f>'PLANILHA GERAL'!$J$151</f>
        <v>11.62</v>
      </c>
      <c r="AU35" s="348">
        <f>'PLANILHA GERAL'!$J$152</f>
        <v>3.7</v>
      </c>
      <c r="AV35" s="348">
        <f t="shared" si="8"/>
        <v>0</v>
      </c>
    </row>
    <row r="36" spans="1:48" ht="80.099999999999994" hidden="1" customHeight="1" thickTop="1" thickBot="1">
      <c r="A36" s="470">
        <f>DADOS!A30</f>
        <v>0</v>
      </c>
      <c r="B36" s="471">
        <f>DADOS!B30</f>
        <v>0</v>
      </c>
      <c r="C36" s="472">
        <f>DADOS!E30</f>
        <v>0</v>
      </c>
      <c r="D36" s="473">
        <f>DADOS!F30</f>
        <v>0</v>
      </c>
      <c r="E36" s="473"/>
      <c r="F36" s="473">
        <f t="shared" si="1"/>
        <v>0</v>
      </c>
      <c r="G36" s="473">
        <f t="shared" si="2"/>
        <v>0</v>
      </c>
      <c r="H36" s="473">
        <f t="shared" si="3"/>
        <v>0</v>
      </c>
      <c r="I36" s="473">
        <f t="shared" si="4"/>
        <v>0</v>
      </c>
      <c r="J36" s="473">
        <f>C36*2</f>
        <v>0</v>
      </c>
      <c r="K36" s="473">
        <f>C36*2</f>
        <v>0</v>
      </c>
      <c r="L36" s="473">
        <f t="shared" si="5"/>
        <v>0</v>
      </c>
      <c r="M36" s="473">
        <f>C36*(D36-0.43*2)*0</f>
        <v>0</v>
      </c>
      <c r="N36" s="473">
        <f t="shared" si="9"/>
        <v>0</v>
      </c>
      <c r="O36" s="500">
        <v>3.5000000000000003E-2</v>
      </c>
      <c r="P36" s="473">
        <f>N36*O36</f>
        <v>0</v>
      </c>
      <c r="Q36" s="474">
        <f>P36*$Q$15</f>
        <v>0</v>
      </c>
      <c r="R36" s="474">
        <f t="shared" si="12"/>
        <v>0</v>
      </c>
      <c r="S36" s="474">
        <f t="shared" si="13"/>
        <v>0</v>
      </c>
      <c r="T36" s="474">
        <f t="shared" si="13"/>
        <v>0</v>
      </c>
      <c r="U36" s="474">
        <f t="shared" si="14"/>
        <v>0</v>
      </c>
      <c r="V36" s="473">
        <f t="shared" si="15"/>
        <v>0</v>
      </c>
      <c r="W36" s="473">
        <f t="shared" si="16"/>
        <v>0</v>
      </c>
      <c r="X36" s="475">
        <f t="shared" si="17"/>
        <v>0</v>
      </c>
      <c r="Z36" s="377">
        <f t="shared" si="0"/>
        <v>0</v>
      </c>
      <c r="AA36" s="348">
        <f>'PLANILHA GERAL'!$J$25</f>
        <v>371.29</v>
      </c>
      <c r="AB36" s="348">
        <f>'PLANILHA GERAL'!$J$44</f>
        <v>113.04</v>
      </c>
      <c r="AC36" s="348">
        <f>'PLANILHA GERAL'!$J$26</f>
        <v>161.68</v>
      </c>
      <c r="AD36" s="348">
        <f>'PLANILHA GERAL'!$J$43</f>
        <v>219.78</v>
      </c>
      <c r="AE36" s="348">
        <f t="shared" si="6"/>
        <v>0</v>
      </c>
      <c r="AG36" s="348">
        <f>'PLANILHA GERAL'!$J$45</f>
        <v>20.28</v>
      </c>
      <c r="AH36" s="348">
        <f>'PLANILHA GERAL'!$J$46</f>
        <v>48.14</v>
      </c>
      <c r="AI36" s="348">
        <f>'PLANILHA GERAL'!$J$47</f>
        <v>56.52</v>
      </c>
      <c r="AJ36" s="348">
        <f>'PLANILHA GERAL'!$J$26</f>
        <v>161.68</v>
      </c>
      <c r="AK36" s="348">
        <f t="shared" si="7"/>
        <v>0</v>
      </c>
      <c r="AM36" s="348">
        <f>'PLANILHA GERAL'!$J$143</f>
        <v>13.47</v>
      </c>
      <c r="AN36" s="348">
        <f>'PLANILHA GERAL'!$J$144</f>
        <v>4.4000000000000004</v>
      </c>
      <c r="AO36" s="348">
        <f>'PLANILHA GERAL'!$J$145</f>
        <v>3339.24</v>
      </c>
      <c r="AP36" s="348">
        <f>'PLANILHA GERAL'!$J$146</f>
        <v>2.98</v>
      </c>
      <c r="AQ36" s="348">
        <f>'PLANILHA GERAL'!$J$147</f>
        <v>8.8800000000000008</v>
      </c>
      <c r="AR36" s="348">
        <f>'PLANILHA GERAL'!$J$148</f>
        <v>576.21</v>
      </c>
      <c r="AS36" s="348">
        <f>'PLANILHA GERAL'!$J$150</f>
        <v>26.91</v>
      </c>
      <c r="AT36" s="348">
        <f>'PLANILHA GERAL'!$J$151</f>
        <v>11.62</v>
      </c>
      <c r="AU36" s="348">
        <f>'PLANILHA GERAL'!$J$152</f>
        <v>3.7</v>
      </c>
      <c r="AV36" s="348">
        <f t="shared" si="8"/>
        <v>0</v>
      </c>
    </row>
    <row r="37" spans="1:48" ht="103.5" hidden="1" customHeight="1" thickTop="1" thickBot="1">
      <c r="A37" s="470">
        <f>DADOS!A31</f>
        <v>0</v>
      </c>
      <c r="B37" s="471">
        <f>DADOS!B31</f>
        <v>0</v>
      </c>
      <c r="C37" s="472">
        <f>DADOS!E31</f>
        <v>0</v>
      </c>
      <c r="D37" s="473">
        <f>DADOS!F31</f>
        <v>0</v>
      </c>
      <c r="E37" s="473"/>
      <c r="F37" s="473">
        <f t="shared" ref="F37:F50" si="20">H37*$F$15</f>
        <v>0</v>
      </c>
      <c r="G37" s="473">
        <f t="shared" ref="G37:G50" si="21">F37*70%</f>
        <v>0</v>
      </c>
      <c r="H37" s="473">
        <f t="shared" ref="H37:H50" si="22">C37*E37*2*50%</f>
        <v>0</v>
      </c>
      <c r="I37" s="473">
        <f t="shared" ref="I37:I50" si="23">K37*0.43*0.1</f>
        <v>0</v>
      </c>
      <c r="J37" s="473">
        <f>C37*2*30%</f>
        <v>0</v>
      </c>
      <c r="K37" s="473">
        <f>C37*2*30%</f>
        <v>0</v>
      </c>
      <c r="L37" s="473">
        <f t="shared" ref="L37:L50" si="24">F37+I37</f>
        <v>0</v>
      </c>
      <c r="M37" s="473">
        <f t="shared" ref="M37:M50" si="25">C37*(D37-0.43*2)*0</f>
        <v>0</v>
      </c>
      <c r="N37" s="473">
        <f t="shared" ref="N37:N50" si="26">C37*(D37-0.43*2)</f>
        <v>0</v>
      </c>
      <c r="O37" s="500">
        <v>3.5000000000000003E-2</v>
      </c>
      <c r="P37" s="473">
        <f t="shared" ref="P37:P50" si="27">N37*O37</f>
        <v>0</v>
      </c>
      <c r="Q37" s="474">
        <f t="shared" ref="Q37:Q50" si="28">P37*$Q$15</f>
        <v>0</v>
      </c>
      <c r="R37" s="474">
        <f t="shared" si="12"/>
        <v>0</v>
      </c>
      <c r="S37" s="474">
        <f t="shared" si="13"/>
        <v>0</v>
      </c>
      <c r="T37" s="474">
        <f t="shared" si="13"/>
        <v>0</v>
      </c>
      <c r="U37" s="474">
        <f t="shared" si="14"/>
        <v>0</v>
      </c>
      <c r="V37" s="473">
        <f t="shared" ref="V37:V50" si="29">(R37+U37)*0.05+T37</f>
        <v>0</v>
      </c>
      <c r="W37" s="473">
        <f t="shared" si="16"/>
        <v>0</v>
      </c>
      <c r="X37" s="475">
        <f t="shared" ref="X37:X50" si="30">C37*D37*15%</f>
        <v>0</v>
      </c>
      <c r="Z37" s="377">
        <f t="shared" ref="Z37:Z50" si="31">A37</f>
        <v>0</v>
      </c>
      <c r="AA37" s="348">
        <f>'PLANILHA GERAL'!$J$25</f>
        <v>371.29</v>
      </c>
      <c r="AB37" s="348">
        <f>'PLANILHA GERAL'!$J$44</f>
        <v>113.04</v>
      </c>
      <c r="AC37" s="348">
        <f>'PLANILHA GERAL'!$J$26</f>
        <v>161.68</v>
      </c>
      <c r="AD37" s="348">
        <f>'PLANILHA GERAL'!$J$43</f>
        <v>219.78</v>
      </c>
      <c r="AE37" s="348">
        <f t="shared" ref="AE37:AE50" si="32">(F37*AA37)+(H37*AB37)+(F37*AC37)+(G37*AD37)</f>
        <v>0</v>
      </c>
      <c r="AG37" s="348">
        <f>'PLANILHA GERAL'!$J$45</f>
        <v>20.28</v>
      </c>
      <c r="AH37" s="348">
        <f>'PLANILHA GERAL'!$J$46</f>
        <v>48.14</v>
      </c>
      <c r="AI37" s="348">
        <f>'PLANILHA GERAL'!$J$47</f>
        <v>56.52</v>
      </c>
      <c r="AJ37" s="348">
        <f>'PLANILHA GERAL'!$J$26</f>
        <v>161.68</v>
      </c>
      <c r="AK37" s="348">
        <f t="shared" ref="AK37:AK50" si="33">(I37*AG37)+(K37*AH37)+(J37*AI37)+(I37*AJ37)</f>
        <v>0</v>
      </c>
      <c r="AM37" s="348">
        <f>'PLANILHA GERAL'!$J$143</f>
        <v>13.47</v>
      </c>
      <c r="AN37" s="348">
        <f>'PLANILHA GERAL'!$J$144</f>
        <v>4.4000000000000004</v>
      </c>
      <c r="AO37" s="348">
        <f>'PLANILHA GERAL'!$J$145</f>
        <v>3339.24</v>
      </c>
      <c r="AP37" s="348">
        <f>'PLANILHA GERAL'!$J$146</f>
        <v>2.98</v>
      </c>
      <c r="AQ37" s="348">
        <f>'PLANILHA GERAL'!$J$147</f>
        <v>8.8800000000000008</v>
      </c>
      <c r="AR37" s="348">
        <f>'PLANILHA GERAL'!$J$148</f>
        <v>576.21</v>
      </c>
      <c r="AS37" s="348">
        <f>'PLANILHA GERAL'!$J$150</f>
        <v>26.91</v>
      </c>
      <c r="AT37" s="348">
        <f>'PLANILHA GERAL'!$J$151</f>
        <v>11.62</v>
      </c>
      <c r="AU37" s="348">
        <f>'PLANILHA GERAL'!$J$152</f>
        <v>3.7</v>
      </c>
      <c r="AV37" s="348">
        <f t="shared" ref="AV37:AV50" si="34">M37*AM37+N37*AN37+P37*AO37+Q37*AP37+U37*AQ37+T37*AR37+R37*AS37+V37*AT37+W37*AU37</f>
        <v>0</v>
      </c>
    </row>
    <row r="38" spans="1:48" ht="100.5" hidden="1" customHeight="1" thickTop="1" thickBot="1">
      <c r="A38" s="470">
        <f>DADOS!A32</f>
        <v>0</v>
      </c>
      <c r="B38" s="471">
        <f>DADOS!B32</f>
        <v>0</v>
      </c>
      <c r="C38" s="472">
        <f>DADOS!E32</f>
        <v>0</v>
      </c>
      <c r="D38" s="473">
        <f>DADOS!F32</f>
        <v>0</v>
      </c>
      <c r="E38" s="473"/>
      <c r="F38" s="473">
        <f t="shared" si="20"/>
        <v>0</v>
      </c>
      <c r="G38" s="473">
        <f t="shared" si="21"/>
        <v>0</v>
      </c>
      <c r="H38" s="473">
        <f t="shared" si="22"/>
        <v>0</v>
      </c>
      <c r="I38" s="473">
        <f t="shared" si="23"/>
        <v>0</v>
      </c>
      <c r="J38" s="473">
        <f>C38*2*30%</f>
        <v>0</v>
      </c>
      <c r="K38" s="473">
        <f>C38*2*30%</f>
        <v>0</v>
      </c>
      <c r="L38" s="473">
        <f t="shared" si="24"/>
        <v>0</v>
      </c>
      <c r="M38" s="473">
        <f t="shared" si="25"/>
        <v>0</v>
      </c>
      <c r="N38" s="473">
        <f t="shared" si="26"/>
        <v>0</v>
      </c>
      <c r="O38" s="500">
        <v>3.5000000000000003E-2</v>
      </c>
      <c r="P38" s="473">
        <f t="shared" si="27"/>
        <v>0</v>
      </c>
      <c r="Q38" s="474">
        <f t="shared" si="28"/>
        <v>0</v>
      </c>
      <c r="R38" s="474">
        <f t="shared" si="12"/>
        <v>0</v>
      </c>
      <c r="S38" s="474">
        <f t="shared" si="13"/>
        <v>0</v>
      </c>
      <c r="T38" s="474">
        <f t="shared" si="13"/>
        <v>0</v>
      </c>
      <c r="U38" s="474">
        <f t="shared" si="14"/>
        <v>0</v>
      </c>
      <c r="V38" s="473">
        <f t="shared" si="29"/>
        <v>0</v>
      </c>
      <c r="W38" s="473">
        <f t="shared" si="16"/>
        <v>0</v>
      </c>
      <c r="X38" s="475">
        <f t="shared" si="30"/>
        <v>0</v>
      </c>
      <c r="Z38" s="377">
        <f t="shared" si="31"/>
        <v>0</v>
      </c>
      <c r="AA38" s="348">
        <f>'PLANILHA GERAL'!$J$25</f>
        <v>371.29</v>
      </c>
      <c r="AB38" s="348">
        <f>'PLANILHA GERAL'!$J$44</f>
        <v>113.04</v>
      </c>
      <c r="AC38" s="348">
        <f>'PLANILHA GERAL'!$J$26</f>
        <v>161.68</v>
      </c>
      <c r="AD38" s="348">
        <f>'PLANILHA GERAL'!$J$43</f>
        <v>219.78</v>
      </c>
      <c r="AE38" s="348">
        <f t="shared" si="32"/>
        <v>0</v>
      </c>
      <c r="AG38" s="348">
        <f>'PLANILHA GERAL'!$J$45</f>
        <v>20.28</v>
      </c>
      <c r="AH38" s="348">
        <f>'PLANILHA GERAL'!$J$46</f>
        <v>48.14</v>
      </c>
      <c r="AI38" s="348">
        <f>'PLANILHA GERAL'!$J$47</f>
        <v>56.52</v>
      </c>
      <c r="AJ38" s="348">
        <f>'PLANILHA GERAL'!$J$26</f>
        <v>161.68</v>
      </c>
      <c r="AK38" s="348">
        <f t="shared" si="33"/>
        <v>0</v>
      </c>
      <c r="AM38" s="348">
        <f>'PLANILHA GERAL'!$J$143</f>
        <v>13.47</v>
      </c>
      <c r="AN38" s="348">
        <f>'PLANILHA GERAL'!$J$144</f>
        <v>4.4000000000000004</v>
      </c>
      <c r="AO38" s="348">
        <f>'PLANILHA GERAL'!$J$145</f>
        <v>3339.24</v>
      </c>
      <c r="AP38" s="348">
        <f>'PLANILHA GERAL'!$J$146</f>
        <v>2.98</v>
      </c>
      <c r="AQ38" s="348">
        <f>'PLANILHA GERAL'!$J$147</f>
        <v>8.8800000000000008</v>
      </c>
      <c r="AR38" s="348">
        <f>'PLANILHA GERAL'!$J$148</f>
        <v>576.21</v>
      </c>
      <c r="AS38" s="348">
        <f>'PLANILHA GERAL'!$J$150</f>
        <v>26.91</v>
      </c>
      <c r="AT38" s="348">
        <f>'PLANILHA GERAL'!$J$151</f>
        <v>11.62</v>
      </c>
      <c r="AU38" s="348">
        <f>'PLANILHA GERAL'!$J$152</f>
        <v>3.7</v>
      </c>
      <c r="AV38" s="348">
        <f t="shared" si="34"/>
        <v>0</v>
      </c>
    </row>
    <row r="39" spans="1:48" ht="97.5" hidden="1" customHeight="1" thickTop="1" thickBot="1">
      <c r="A39" s="470">
        <f>DADOS!A33</f>
        <v>0</v>
      </c>
      <c r="B39" s="471">
        <f>DADOS!B33</f>
        <v>0</v>
      </c>
      <c r="C39" s="472">
        <f>DADOS!E33</f>
        <v>0</v>
      </c>
      <c r="D39" s="473">
        <f>DADOS!F33</f>
        <v>0</v>
      </c>
      <c r="E39" s="473"/>
      <c r="F39" s="473">
        <f t="shared" si="20"/>
        <v>0</v>
      </c>
      <c r="G39" s="473">
        <f t="shared" si="21"/>
        <v>0</v>
      </c>
      <c r="H39" s="473">
        <f t="shared" si="22"/>
        <v>0</v>
      </c>
      <c r="I39" s="473">
        <f t="shared" si="23"/>
        <v>0</v>
      </c>
      <c r="J39" s="473">
        <f>C39*2*30%</f>
        <v>0</v>
      </c>
      <c r="K39" s="473">
        <f>C39*2*30%</f>
        <v>0</v>
      </c>
      <c r="L39" s="473">
        <f t="shared" si="24"/>
        <v>0</v>
      </c>
      <c r="M39" s="473">
        <f t="shared" si="25"/>
        <v>0</v>
      </c>
      <c r="N39" s="473">
        <f t="shared" si="26"/>
        <v>0</v>
      </c>
      <c r="O39" s="500">
        <v>3.5000000000000003E-2</v>
      </c>
      <c r="P39" s="473">
        <f t="shared" si="27"/>
        <v>0</v>
      </c>
      <c r="Q39" s="474">
        <f t="shared" si="28"/>
        <v>0</v>
      </c>
      <c r="R39" s="474">
        <f t="shared" si="12"/>
        <v>0</v>
      </c>
      <c r="S39" s="474">
        <f t="shared" si="13"/>
        <v>0</v>
      </c>
      <c r="T39" s="474">
        <f t="shared" si="13"/>
        <v>0</v>
      </c>
      <c r="U39" s="474">
        <f t="shared" si="14"/>
        <v>0</v>
      </c>
      <c r="V39" s="473">
        <f t="shared" si="29"/>
        <v>0</v>
      </c>
      <c r="W39" s="473">
        <f t="shared" si="16"/>
        <v>0</v>
      </c>
      <c r="X39" s="475">
        <f t="shared" si="30"/>
        <v>0</v>
      </c>
      <c r="Z39" s="377">
        <f t="shared" si="31"/>
        <v>0</v>
      </c>
      <c r="AA39" s="348">
        <f>'PLANILHA GERAL'!$J$25</f>
        <v>371.29</v>
      </c>
      <c r="AB39" s="348">
        <f>'PLANILHA GERAL'!$J$44</f>
        <v>113.04</v>
      </c>
      <c r="AC39" s="348">
        <f>'PLANILHA GERAL'!$J$26</f>
        <v>161.68</v>
      </c>
      <c r="AD39" s="348">
        <f>'PLANILHA GERAL'!$J$43</f>
        <v>219.78</v>
      </c>
      <c r="AE39" s="348">
        <f t="shared" si="32"/>
        <v>0</v>
      </c>
      <c r="AG39" s="348">
        <f>'PLANILHA GERAL'!$J$45</f>
        <v>20.28</v>
      </c>
      <c r="AH39" s="348">
        <f>'PLANILHA GERAL'!$J$46</f>
        <v>48.14</v>
      </c>
      <c r="AI39" s="348">
        <f>'PLANILHA GERAL'!$J$47</f>
        <v>56.52</v>
      </c>
      <c r="AJ39" s="348">
        <f>'PLANILHA GERAL'!$J$26</f>
        <v>161.68</v>
      </c>
      <c r="AK39" s="348">
        <f t="shared" si="33"/>
        <v>0</v>
      </c>
      <c r="AM39" s="348">
        <f>'PLANILHA GERAL'!$J$143</f>
        <v>13.47</v>
      </c>
      <c r="AN39" s="348">
        <f>'PLANILHA GERAL'!$J$144</f>
        <v>4.4000000000000004</v>
      </c>
      <c r="AO39" s="348">
        <f>'PLANILHA GERAL'!$J$145</f>
        <v>3339.24</v>
      </c>
      <c r="AP39" s="348">
        <f>'PLANILHA GERAL'!$J$146</f>
        <v>2.98</v>
      </c>
      <c r="AQ39" s="348">
        <f>'PLANILHA GERAL'!$J$147</f>
        <v>8.8800000000000008</v>
      </c>
      <c r="AR39" s="348">
        <f>'PLANILHA GERAL'!$J$148</f>
        <v>576.21</v>
      </c>
      <c r="AS39" s="348">
        <f>'PLANILHA GERAL'!$J$150</f>
        <v>26.91</v>
      </c>
      <c r="AT39" s="348">
        <f>'PLANILHA GERAL'!$J$151</f>
        <v>11.62</v>
      </c>
      <c r="AU39" s="348">
        <f>'PLANILHA GERAL'!$J$152</f>
        <v>3.7</v>
      </c>
      <c r="AV39" s="348">
        <f t="shared" si="34"/>
        <v>0</v>
      </c>
    </row>
    <row r="40" spans="1:48" ht="109.5" hidden="1" customHeight="1" thickTop="1" thickBot="1">
      <c r="A40" s="470">
        <f>DADOS!A34</f>
        <v>0</v>
      </c>
      <c r="B40" s="471">
        <f>DADOS!B34</f>
        <v>0</v>
      </c>
      <c r="C40" s="472">
        <f>DADOS!E34</f>
        <v>0</v>
      </c>
      <c r="D40" s="473">
        <f>DADOS!F34</f>
        <v>0</v>
      </c>
      <c r="E40" s="473"/>
      <c r="F40" s="473">
        <f t="shared" si="20"/>
        <v>0</v>
      </c>
      <c r="G40" s="473">
        <f t="shared" si="21"/>
        <v>0</v>
      </c>
      <c r="H40" s="473">
        <f t="shared" si="22"/>
        <v>0</v>
      </c>
      <c r="I40" s="473">
        <f t="shared" si="23"/>
        <v>0</v>
      </c>
      <c r="J40" s="473">
        <f t="shared" ref="J40:J51" si="35">C40*2*30%*0</f>
        <v>0</v>
      </c>
      <c r="K40" s="473">
        <f t="shared" ref="K40:K51" si="36">C40*2*30%*0</f>
        <v>0</v>
      </c>
      <c r="L40" s="473">
        <f t="shared" si="24"/>
        <v>0</v>
      </c>
      <c r="M40" s="473">
        <f t="shared" si="25"/>
        <v>0</v>
      </c>
      <c r="N40" s="473">
        <f t="shared" si="26"/>
        <v>0</v>
      </c>
      <c r="O40" s="500">
        <v>3.5000000000000003E-2</v>
      </c>
      <c r="P40" s="473">
        <f t="shared" si="27"/>
        <v>0</v>
      </c>
      <c r="Q40" s="474">
        <f t="shared" si="28"/>
        <v>0</v>
      </c>
      <c r="R40" s="474">
        <f t="shared" si="12"/>
        <v>0</v>
      </c>
      <c r="S40" s="474">
        <f t="shared" si="13"/>
        <v>0</v>
      </c>
      <c r="T40" s="474">
        <f t="shared" si="13"/>
        <v>0</v>
      </c>
      <c r="U40" s="474">
        <f t="shared" si="14"/>
        <v>0</v>
      </c>
      <c r="V40" s="473">
        <f t="shared" si="29"/>
        <v>0</v>
      </c>
      <c r="W40" s="473">
        <f t="shared" si="16"/>
        <v>0</v>
      </c>
      <c r="X40" s="475">
        <f t="shared" si="30"/>
        <v>0</v>
      </c>
      <c r="Z40" s="377">
        <f t="shared" si="31"/>
        <v>0</v>
      </c>
      <c r="AA40" s="348">
        <f>'PLANILHA GERAL'!$J$25</f>
        <v>371.29</v>
      </c>
      <c r="AB40" s="348">
        <f>'PLANILHA GERAL'!$J$44</f>
        <v>113.04</v>
      </c>
      <c r="AC40" s="348">
        <f>'PLANILHA GERAL'!$J$26</f>
        <v>161.68</v>
      </c>
      <c r="AD40" s="348">
        <f>'PLANILHA GERAL'!$J$43</f>
        <v>219.78</v>
      </c>
      <c r="AE40" s="348">
        <f t="shared" si="32"/>
        <v>0</v>
      </c>
      <c r="AG40" s="348">
        <f>'PLANILHA GERAL'!$J$45</f>
        <v>20.28</v>
      </c>
      <c r="AH40" s="348">
        <f>'PLANILHA GERAL'!$J$46</f>
        <v>48.14</v>
      </c>
      <c r="AI40" s="348">
        <f>'PLANILHA GERAL'!$J$47</f>
        <v>56.52</v>
      </c>
      <c r="AJ40" s="348">
        <f>'PLANILHA GERAL'!$J$26</f>
        <v>161.68</v>
      </c>
      <c r="AK40" s="348">
        <f t="shared" si="33"/>
        <v>0</v>
      </c>
      <c r="AM40" s="348">
        <f>'PLANILHA GERAL'!$J$143</f>
        <v>13.47</v>
      </c>
      <c r="AN40" s="348">
        <f>'PLANILHA GERAL'!$J$144</f>
        <v>4.4000000000000004</v>
      </c>
      <c r="AO40" s="348">
        <f>'PLANILHA GERAL'!$J$145</f>
        <v>3339.24</v>
      </c>
      <c r="AP40" s="348">
        <f>'PLANILHA GERAL'!$J$146</f>
        <v>2.98</v>
      </c>
      <c r="AQ40" s="348">
        <f>'PLANILHA GERAL'!$J$147</f>
        <v>8.8800000000000008</v>
      </c>
      <c r="AR40" s="348">
        <f>'PLANILHA GERAL'!$J$148</f>
        <v>576.21</v>
      </c>
      <c r="AS40" s="348">
        <f>'PLANILHA GERAL'!$J$150</f>
        <v>26.91</v>
      </c>
      <c r="AT40" s="348">
        <f>'PLANILHA GERAL'!$J$151</f>
        <v>11.62</v>
      </c>
      <c r="AU40" s="348">
        <f>'PLANILHA GERAL'!$J$152</f>
        <v>3.7</v>
      </c>
      <c r="AV40" s="348">
        <f t="shared" si="34"/>
        <v>0</v>
      </c>
    </row>
    <row r="41" spans="1:48" ht="80.099999999999994" hidden="1" customHeight="1" thickTop="1" thickBot="1">
      <c r="A41" s="470">
        <f>DADOS!A35</f>
        <v>0</v>
      </c>
      <c r="B41" s="471">
        <f>DADOS!B35</f>
        <v>0</v>
      </c>
      <c r="C41" s="472">
        <f>DADOS!E35</f>
        <v>0</v>
      </c>
      <c r="D41" s="473">
        <f>DADOS!F35</f>
        <v>0</v>
      </c>
      <c r="E41" s="473"/>
      <c r="F41" s="473">
        <f t="shared" si="20"/>
        <v>0</v>
      </c>
      <c r="G41" s="473">
        <f t="shared" si="21"/>
        <v>0</v>
      </c>
      <c r="H41" s="473">
        <f t="shared" si="22"/>
        <v>0</v>
      </c>
      <c r="I41" s="473">
        <f t="shared" si="23"/>
        <v>0</v>
      </c>
      <c r="J41" s="473">
        <f t="shared" si="35"/>
        <v>0</v>
      </c>
      <c r="K41" s="473">
        <f t="shared" si="36"/>
        <v>0</v>
      </c>
      <c r="L41" s="473">
        <f t="shared" si="24"/>
        <v>0</v>
      </c>
      <c r="M41" s="473">
        <f t="shared" si="25"/>
        <v>0</v>
      </c>
      <c r="N41" s="473">
        <f t="shared" si="26"/>
        <v>0</v>
      </c>
      <c r="O41" s="500">
        <v>3.5000000000000003E-2</v>
      </c>
      <c r="P41" s="473">
        <f t="shared" si="27"/>
        <v>0</v>
      </c>
      <c r="Q41" s="474">
        <f t="shared" si="28"/>
        <v>0</v>
      </c>
      <c r="R41" s="474">
        <f t="shared" si="12"/>
        <v>0</v>
      </c>
      <c r="S41" s="474">
        <f t="shared" si="13"/>
        <v>0</v>
      </c>
      <c r="T41" s="474">
        <f t="shared" si="13"/>
        <v>0</v>
      </c>
      <c r="U41" s="474">
        <f t="shared" si="14"/>
        <v>0</v>
      </c>
      <c r="V41" s="473">
        <f t="shared" si="29"/>
        <v>0</v>
      </c>
      <c r="W41" s="473">
        <f>V41*1.3*$W$15</f>
        <v>0</v>
      </c>
      <c r="X41" s="475">
        <f t="shared" si="30"/>
        <v>0</v>
      </c>
      <c r="Z41" s="377">
        <f t="shared" si="31"/>
        <v>0</v>
      </c>
      <c r="AA41" s="348">
        <f>'PLANILHA GERAL'!$J$25</f>
        <v>371.29</v>
      </c>
      <c r="AB41" s="348">
        <f>'PLANILHA GERAL'!$J$44</f>
        <v>113.04</v>
      </c>
      <c r="AC41" s="348">
        <f>'PLANILHA GERAL'!$J$26</f>
        <v>161.68</v>
      </c>
      <c r="AD41" s="348">
        <f>'PLANILHA GERAL'!$J$43</f>
        <v>219.78</v>
      </c>
      <c r="AE41" s="348">
        <f t="shared" si="32"/>
        <v>0</v>
      </c>
      <c r="AG41" s="348">
        <f>'PLANILHA GERAL'!$J$45</f>
        <v>20.28</v>
      </c>
      <c r="AH41" s="348">
        <f>'PLANILHA GERAL'!$J$46</f>
        <v>48.14</v>
      </c>
      <c r="AI41" s="348">
        <f>'PLANILHA GERAL'!$J$47</f>
        <v>56.52</v>
      </c>
      <c r="AJ41" s="348">
        <f>'PLANILHA GERAL'!$J$26</f>
        <v>161.68</v>
      </c>
      <c r="AK41" s="348">
        <f t="shared" si="33"/>
        <v>0</v>
      </c>
      <c r="AM41" s="348">
        <f>'PLANILHA GERAL'!$J$143</f>
        <v>13.47</v>
      </c>
      <c r="AN41" s="348">
        <f>'PLANILHA GERAL'!$J$144</f>
        <v>4.4000000000000004</v>
      </c>
      <c r="AO41" s="348">
        <f>'PLANILHA GERAL'!$J$145</f>
        <v>3339.24</v>
      </c>
      <c r="AP41" s="348">
        <f>'PLANILHA GERAL'!$J$146</f>
        <v>2.98</v>
      </c>
      <c r="AQ41" s="348">
        <f>'PLANILHA GERAL'!$J$147</f>
        <v>8.8800000000000008</v>
      </c>
      <c r="AR41" s="348">
        <f>'PLANILHA GERAL'!$J$148</f>
        <v>576.21</v>
      </c>
      <c r="AS41" s="348">
        <f>'PLANILHA GERAL'!$J$150</f>
        <v>26.91</v>
      </c>
      <c r="AT41" s="348">
        <f>'PLANILHA GERAL'!$J$151</f>
        <v>11.62</v>
      </c>
      <c r="AU41" s="348">
        <f>'PLANILHA GERAL'!$J$152</f>
        <v>3.7</v>
      </c>
      <c r="AV41" s="348">
        <f t="shared" si="34"/>
        <v>0</v>
      </c>
    </row>
    <row r="42" spans="1:48" ht="51" hidden="1" thickTop="1" thickBot="1">
      <c r="A42" s="470">
        <f>DADOS!A36</f>
        <v>0</v>
      </c>
      <c r="B42" s="471">
        <f>DADOS!B36</f>
        <v>0</v>
      </c>
      <c r="C42" s="472">
        <f>DADOS!E36</f>
        <v>0</v>
      </c>
      <c r="D42" s="473">
        <f>DADOS!F36</f>
        <v>0</v>
      </c>
      <c r="E42" s="473"/>
      <c r="F42" s="473">
        <f t="shared" si="20"/>
        <v>0</v>
      </c>
      <c r="G42" s="473">
        <f t="shared" si="21"/>
        <v>0</v>
      </c>
      <c r="H42" s="473">
        <f t="shared" si="22"/>
        <v>0</v>
      </c>
      <c r="I42" s="473">
        <f t="shared" si="23"/>
        <v>0</v>
      </c>
      <c r="J42" s="473">
        <f t="shared" si="35"/>
        <v>0</v>
      </c>
      <c r="K42" s="473">
        <f t="shared" si="36"/>
        <v>0</v>
      </c>
      <c r="L42" s="473">
        <f t="shared" si="24"/>
        <v>0</v>
      </c>
      <c r="M42" s="473">
        <f t="shared" si="25"/>
        <v>0</v>
      </c>
      <c r="N42" s="473">
        <f t="shared" si="26"/>
        <v>0</v>
      </c>
      <c r="O42" s="500">
        <v>3.5000000000000003E-2</v>
      </c>
      <c r="P42" s="473">
        <f t="shared" si="27"/>
        <v>0</v>
      </c>
      <c r="Q42" s="474">
        <f t="shared" si="28"/>
        <v>0</v>
      </c>
      <c r="R42" s="474">
        <f t="shared" si="12"/>
        <v>0</v>
      </c>
      <c r="S42" s="474">
        <f t="shared" si="13"/>
        <v>0</v>
      </c>
      <c r="T42" s="474">
        <f t="shared" si="13"/>
        <v>0</v>
      </c>
      <c r="U42" s="474">
        <f t="shared" si="14"/>
        <v>0</v>
      </c>
      <c r="V42" s="473">
        <f t="shared" si="29"/>
        <v>0</v>
      </c>
      <c r="W42" s="473">
        <f t="shared" si="16"/>
        <v>0</v>
      </c>
      <c r="X42" s="475">
        <f t="shared" si="30"/>
        <v>0</v>
      </c>
      <c r="Z42" s="377">
        <f t="shared" si="31"/>
        <v>0</v>
      </c>
      <c r="AA42" s="348">
        <f>'PLANILHA GERAL'!$J$25</f>
        <v>371.29</v>
      </c>
      <c r="AB42" s="348">
        <f>'PLANILHA GERAL'!$J$44</f>
        <v>113.04</v>
      </c>
      <c r="AC42" s="348">
        <f>'PLANILHA GERAL'!$J$26</f>
        <v>161.68</v>
      </c>
      <c r="AD42" s="348">
        <f>'PLANILHA GERAL'!$J$43</f>
        <v>219.78</v>
      </c>
      <c r="AE42" s="348">
        <f t="shared" si="32"/>
        <v>0</v>
      </c>
      <c r="AG42" s="348">
        <f>'PLANILHA GERAL'!$J$45</f>
        <v>20.28</v>
      </c>
      <c r="AH42" s="348">
        <f>'PLANILHA GERAL'!$J$46</f>
        <v>48.14</v>
      </c>
      <c r="AI42" s="348">
        <f>'PLANILHA GERAL'!$J$47</f>
        <v>56.52</v>
      </c>
      <c r="AJ42" s="348">
        <f>'PLANILHA GERAL'!$J$26</f>
        <v>161.68</v>
      </c>
      <c r="AK42" s="348">
        <f t="shared" si="33"/>
        <v>0</v>
      </c>
      <c r="AM42" s="348">
        <f>'PLANILHA GERAL'!$J$143</f>
        <v>13.47</v>
      </c>
      <c r="AN42" s="348">
        <f>'PLANILHA GERAL'!$J$144</f>
        <v>4.4000000000000004</v>
      </c>
      <c r="AO42" s="348">
        <f>'PLANILHA GERAL'!$J$145</f>
        <v>3339.24</v>
      </c>
      <c r="AP42" s="348">
        <f>'PLANILHA GERAL'!$J$146</f>
        <v>2.98</v>
      </c>
      <c r="AQ42" s="348">
        <f>'PLANILHA GERAL'!$J$147</f>
        <v>8.8800000000000008</v>
      </c>
      <c r="AR42" s="348">
        <f>'PLANILHA GERAL'!$J$148</f>
        <v>576.21</v>
      </c>
      <c r="AS42" s="348">
        <f>'PLANILHA GERAL'!$J$150</f>
        <v>26.91</v>
      </c>
      <c r="AT42" s="348">
        <f>'PLANILHA GERAL'!$J$151</f>
        <v>11.62</v>
      </c>
      <c r="AU42" s="348">
        <f>'PLANILHA GERAL'!$J$152</f>
        <v>3.7</v>
      </c>
      <c r="AV42" s="348">
        <f t="shared" si="34"/>
        <v>0</v>
      </c>
    </row>
    <row r="43" spans="1:48" ht="103.5" hidden="1" customHeight="1" thickTop="1" thickBot="1">
      <c r="A43" s="470">
        <f>DADOS!A37</f>
        <v>0</v>
      </c>
      <c r="B43" s="471">
        <f>DADOS!B37</f>
        <v>0</v>
      </c>
      <c r="C43" s="472">
        <f>DADOS!E37</f>
        <v>0</v>
      </c>
      <c r="D43" s="473">
        <f>DADOS!F37</f>
        <v>0</v>
      </c>
      <c r="E43" s="473"/>
      <c r="F43" s="473">
        <f t="shared" si="20"/>
        <v>0</v>
      </c>
      <c r="G43" s="473">
        <f t="shared" si="21"/>
        <v>0</v>
      </c>
      <c r="H43" s="473">
        <f t="shared" si="22"/>
        <v>0</v>
      </c>
      <c r="I43" s="473">
        <f t="shared" si="23"/>
        <v>0</v>
      </c>
      <c r="J43" s="473">
        <f t="shared" si="35"/>
        <v>0</v>
      </c>
      <c r="K43" s="473">
        <f t="shared" si="36"/>
        <v>0</v>
      </c>
      <c r="L43" s="473">
        <f t="shared" si="24"/>
        <v>0</v>
      </c>
      <c r="M43" s="473">
        <f t="shared" si="25"/>
        <v>0</v>
      </c>
      <c r="N43" s="473">
        <f t="shared" si="26"/>
        <v>0</v>
      </c>
      <c r="O43" s="500">
        <v>3.5000000000000003E-2</v>
      </c>
      <c r="P43" s="473">
        <f t="shared" si="27"/>
        <v>0</v>
      </c>
      <c r="Q43" s="474">
        <f t="shared" si="28"/>
        <v>0</v>
      </c>
      <c r="R43" s="474">
        <f t="shared" si="12"/>
        <v>0</v>
      </c>
      <c r="S43" s="474">
        <f t="shared" si="13"/>
        <v>0</v>
      </c>
      <c r="T43" s="474">
        <f t="shared" si="13"/>
        <v>0</v>
      </c>
      <c r="U43" s="474">
        <f t="shared" si="14"/>
        <v>0</v>
      </c>
      <c r="V43" s="473">
        <f t="shared" si="29"/>
        <v>0</v>
      </c>
      <c r="W43" s="473">
        <f t="shared" si="16"/>
        <v>0</v>
      </c>
      <c r="X43" s="475">
        <f t="shared" si="30"/>
        <v>0</v>
      </c>
      <c r="Z43" s="377">
        <f t="shared" si="31"/>
        <v>0</v>
      </c>
      <c r="AA43" s="348">
        <f>'PLANILHA GERAL'!$J$25</f>
        <v>371.29</v>
      </c>
      <c r="AB43" s="348">
        <f>'PLANILHA GERAL'!$J$44</f>
        <v>113.04</v>
      </c>
      <c r="AC43" s="348">
        <f>'PLANILHA GERAL'!$J$26</f>
        <v>161.68</v>
      </c>
      <c r="AD43" s="348">
        <f>'PLANILHA GERAL'!$J$43</f>
        <v>219.78</v>
      </c>
      <c r="AE43" s="348">
        <f t="shared" si="32"/>
        <v>0</v>
      </c>
      <c r="AG43" s="348">
        <f>'PLANILHA GERAL'!$J$45</f>
        <v>20.28</v>
      </c>
      <c r="AH43" s="348">
        <f>'PLANILHA GERAL'!$J$46</f>
        <v>48.14</v>
      </c>
      <c r="AI43" s="348">
        <f>'PLANILHA GERAL'!$J$47</f>
        <v>56.52</v>
      </c>
      <c r="AJ43" s="348">
        <f>'PLANILHA GERAL'!$J$26</f>
        <v>161.68</v>
      </c>
      <c r="AK43" s="348">
        <f t="shared" si="33"/>
        <v>0</v>
      </c>
      <c r="AM43" s="348">
        <f>'PLANILHA GERAL'!$J$143</f>
        <v>13.47</v>
      </c>
      <c r="AN43" s="348">
        <f>'PLANILHA GERAL'!$J$144</f>
        <v>4.4000000000000004</v>
      </c>
      <c r="AO43" s="348">
        <f>'PLANILHA GERAL'!$J$145</f>
        <v>3339.24</v>
      </c>
      <c r="AP43" s="348">
        <f>'PLANILHA GERAL'!$J$146</f>
        <v>2.98</v>
      </c>
      <c r="AQ43" s="348">
        <f>'PLANILHA GERAL'!$J$147</f>
        <v>8.8800000000000008</v>
      </c>
      <c r="AR43" s="348">
        <f>'PLANILHA GERAL'!$J$148</f>
        <v>576.21</v>
      </c>
      <c r="AS43" s="348">
        <f>'PLANILHA GERAL'!$J$150</f>
        <v>26.91</v>
      </c>
      <c r="AT43" s="348">
        <f>'PLANILHA GERAL'!$J$151</f>
        <v>11.62</v>
      </c>
      <c r="AU43" s="348">
        <f>'PLANILHA GERAL'!$J$152</f>
        <v>3.7</v>
      </c>
      <c r="AV43" s="348">
        <f t="shared" si="34"/>
        <v>0</v>
      </c>
    </row>
    <row r="44" spans="1:48" ht="80.099999999999994" hidden="1" customHeight="1" thickTop="1" thickBot="1">
      <c r="A44" s="470">
        <f>DADOS!A38</f>
        <v>0</v>
      </c>
      <c r="B44" s="471">
        <f>DADOS!B38</f>
        <v>0</v>
      </c>
      <c r="C44" s="472">
        <f>DADOS!E38</f>
        <v>0</v>
      </c>
      <c r="D44" s="473">
        <f>DADOS!F38</f>
        <v>0</v>
      </c>
      <c r="E44" s="473"/>
      <c r="F44" s="473">
        <f t="shared" si="20"/>
        <v>0</v>
      </c>
      <c r="G44" s="473">
        <f t="shared" si="21"/>
        <v>0</v>
      </c>
      <c r="H44" s="473">
        <f t="shared" si="22"/>
        <v>0</v>
      </c>
      <c r="I44" s="473">
        <f t="shared" si="23"/>
        <v>0</v>
      </c>
      <c r="J44" s="473">
        <f t="shared" si="35"/>
        <v>0</v>
      </c>
      <c r="K44" s="473">
        <f t="shared" si="36"/>
        <v>0</v>
      </c>
      <c r="L44" s="473">
        <f t="shared" si="24"/>
        <v>0</v>
      </c>
      <c r="M44" s="473">
        <f t="shared" si="25"/>
        <v>0</v>
      </c>
      <c r="N44" s="473">
        <f t="shared" si="26"/>
        <v>0</v>
      </c>
      <c r="O44" s="500">
        <v>3.5000000000000003E-2</v>
      </c>
      <c r="P44" s="473">
        <f t="shared" si="27"/>
        <v>0</v>
      </c>
      <c r="Q44" s="474">
        <f t="shared" si="28"/>
        <v>0</v>
      </c>
      <c r="R44" s="474">
        <f t="shared" si="12"/>
        <v>0</v>
      </c>
      <c r="S44" s="474">
        <f t="shared" si="13"/>
        <v>0</v>
      </c>
      <c r="T44" s="474">
        <f t="shared" si="13"/>
        <v>0</v>
      </c>
      <c r="U44" s="474">
        <f t="shared" si="14"/>
        <v>0</v>
      </c>
      <c r="V44" s="473">
        <f t="shared" si="29"/>
        <v>0</v>
      </c>
      <c r="W44" s="473">
        <f t="shared" si="16"/>
        <v>0</v>
      </c>
      <c r="X44" s="475">
        <f t="shared" si="30"/>
        <v>0</v>
      </c>
      <c r="Z44" s="377">
        <f t="shared" si="31"/>
        <v>0</v>
      </c>
      <c r="AA44" s="348">
        <f>'PLANILHA GERAL'!$J$25</f>
        <v>371.29</v>
      </c>
      <c r="AB44" s="348">
        <f>'PLANILHA GERAL'!$J$44</f>
        <v>113.04</v>
      </c>
      <c r="AC44" s="348">
        <f>'PLANILHA GERAL'!$J$26</f>
        <v>161.68</v>
      </c>
      <c r="AD44" s="348">
        <f>'PLANILHA GERAL'!$J$43</f>
        <v>219.78</v>
      </c>
      <c r="AE44" s="348">
        <f t="shared" si="32"/>
        <v>0</v>
      </c>
      <c r="AG44" s="348">
        <f>'PLANILHA GERAL'!$J$45</f>
        <v>20.28</v>
      </c>
      <c r="AH44" s="348">
        <f>'PLANILHA GERAL'!$J$46</f>
        <v>48.14</v>
      </c>
      <c r="AI44" s="348">
        <f>'PLANILHA GERAL'!$J$47</f>
        <v>56.52</v>
      </c>
      <c r="AJ44" s="348">
        <f>'PLANILHA GERAL'!$J$26</f>
        <v>161.68</v>
      </c>
      <c r="AK44" s="348">
        <f t="shared" si="33"/>
        <v>0</v>
      </c>
      <c r="AM44" s="348">
        <f>'PLANILHA GERAL'!$J$143</f>
        <v>13.47</v>
      </c>
      <c r="AN44" s="348">
        <f>'PLANILHA GERAL'!$J$144</f>
        <v>4.4000000000000004</v>
      </c>
      <c r="AO44" s="348">
        <f>'PLANILHA GERAL'!$J$145</f>
        <v>3339.24</v>
      </c>
      <c r="AP44" s="348">
        <f>'PLANILHA GERAL'!$J$146</f>
        <v>2.98</v>
      </c>
      <c r="AQ44" s="348">
        <f>'PLANILHA GERAL'!$J$147</f>
        <v>8.8800000000000008</v>
      </c>
      <c r="AR44" s="348">
        <f>'PLANILHA GERAL'!$J$148</f>
        <v>576.21</v>
      </c>
      <c r="AS44" s="348">
        <f>'PLANILHA GERAL'!$J$150</f>
        <v>26.91</v>
      </c>
      <c r="AT44" s="348">
        <f>'PLANILHA GERAL'!$J$151</f>
        <v>11.62</v>
      </c>
      <c r="AU44" s="348">
        <f>'PLANILHA GERAL'!$J$152</f>
        <v>3.7</v>
      </c>
      <c r="AV44" s="348">
        <f t="shared" si="34"/>
        <v>0</v>
      </c>
    </row>
    <row r="45" spans="1:48" ht="80.099999999999994" hidden="1" customHeight="1" thickTop="1" thickBot="1">
      <c r="A45" s="470">
        <f>DADOS!A39</f>
        <v>0</v>
      </c>
      <c r="B45" s="471">
        <f>DADOS!B39</f>
        <v>0</v>
      </c>
      <c r="C45" s="472">
        <f>DADOS!E39</f>
        <v>0</v>
      </c>
      <c r="D45" s="473">
        <f>DADOS!F39</f>
        <v>0</v>
      </c>
      <c r="E45" s="473"/>
      <c r="F45" s="473">
        <f t="shared" si="20"/>
        <v>0</v>
      </c>
      <c r="G45" s="473">
        <f t="shared" si="21"/>
        <v>0</v>
      </c>
      <c r="H45" s="473">
        <f t="shared" si="22"/>
        <v>0</v>
      </c>
      <c r="I45" s="473">
        <f t="shared" si="23"/>
        <v>0</v>
      </c>
      <c r="J45" s="473">
        <f t="shared" si="35"/>
        <v>0</v>
      </c>
      <c r="K45" s="473">
        <f t="shared" si="36"/>
        <v>0</v>
      </c>
      <c r="L45" s="473">
        <f t="shared" si="24"/>
        <v>0</v>
      </c>
      <c r="M45" s="473">
        <f t="shared" si="25"/>
        <v>0</v>
      </c>
      <c r="N45" s="473">
        <f t="shared" si="26"/>
        <v>0</v>
      </c>
      <c r="O45" s="500">
        <v>3.5000000000000003E-2</v>
      </c>
      <c r="P45" s="473">
        <f t="shared" si="27"/>
        <v>0</v>
      </c>
      <c r="Q45" s="474">
        <f t="shared" si="28"/>
        <v>0</v>
      </c>
      <c r="R45" s="474">
        <f t="shared" si="12"/>
        <v>0</v>
      </c>
      <c r="S45" s="474">
        <f t="shared" si="13"/>
        <v>0</v>
      </c>
      <c r="T45" s="474">
        <f t="shared" si="13"/>
        <v>0</v>
      </c>
      <c r="U45" s="474">
        <f t="shared" si="14"/>
        <v>0</v>
      </c>
      <c r="V45" s="473">
        <f t="shared" si="29"/>
        <v>0</v>
      </c>
      <c r="W45" s="473">
        <f t="shared" si="16"/>
        <v>0</v>
      </c>
      <c r="X45" s="475">
        <f t="shared" si="30"/>
        <v>0</v>
      </c>
      <c r="Z45" s="377">
        <f t="shared" si="31"/>
        <v>0</v>
      </c>
      <c r="AA45" s="348">
        <f>'PLANILHA GERAL'!$J$25</f>
        <v>371.29</v>
      </c>
      <c r="AB45" s="348">
        <f>'PLANILHA GERAL'!$J$44</f>
        <v>113.04</v>
      </c>
      <c r="AC45" s="348">
        <f>'PLANILHA GERAL'!$J$26</f>
        <v>161.68</v>
      </c>
      <c r="AD45" s="348">
        <f>'PLANILHA GERAL'!$J$43</f>
        <v>219.78</v>
      </c>
      <c r="AE45" s="348">
        <f t="shared" si="32"/>
        <v>0</v>
      </c>
      <c r="AG45" s="348">
        <f>'PLANILHA GERAL'!$J$45</f>
        <v>20.28</v>
      </c>
      <c r="AH45" s="348">
        <f>'PLANILHA GERAL'!$J$46</f>
        <v>48.14</v>
      </c>
      <c r="AI45" s="348">
        <f>'PLANILHA GERAL'!$J$47</f>
        <v>56.52</v>
      </c>
      <c r="AJ45" s="348">
        <f>'PLANILHA GERAL'!$J$26</f>
        <v>161.68</v>
      </c>
      <c r="AK45" s="348">
        <f t="shared" si="33"/>
        <v>0</v>
      </c>
      <c r="AM45" s="348">
        <f>'PLANILHA GERAL'!$J$143</f>
        <v>13.47</v>
      </c>
      <c r="AN45" s="348">
        <f>'PLANILHA GERAL'!$J$144</f>
        <v>4.4000000000000004</v>
      </c>
      <c r="AO45" s="348">
        <f>'PLANILHA GERAL'!$J$145</f>
        <v>3339.24</v>
      </c>
      <c r="AP45" s="348">
        <f>'PLANILHA GERAL'!$J$146</f>
        <v>2.98</v>
      </c>
      <c r="AQ45" s="348">
        <f>'PLANILHA GERAL'!$J$147</f>
        <v>8.8800000000000008</v>
      </c>
      <c r="AR45" s="348">
        <f>'PLANILHA GERAL'!$J$148</f>
        <v>576.21</v>
      </c>
      <c r="AS45" s="348">
        <f>'PLANILHA GERAL'!$J$150</f>
        <v>26.91</v>
      </c>
      <c r="AT45" s="348">
        <f>'PLANILHA GERAL'!$J$151</f>
        <v>11.62</v>
      </c>
      <c r="AU45" s="348">
        <f>'PLANILHA GERAL'!$J$152</f>
        <v>3.7</v>
      </c>
      <c r="AV45" s="348">
        <f t="shared" si="34"/>
        <v>0</v>
      </c>
    </row>
    <row r="46" spans="1:48" ht="51" hidden="1" thickTop="1" thickBot="1">
      <c r="A46" s="470">
        <f>DADOS!A40</f>
        <v>0</v>
      </c>
      <c r="B46" s="471">
        <f>DADOS!B40</f>
        <v>0</v>
      </c>
      <c r="C46" s="472">
        <f>DADOS!E40</f>
        <v>0</v>
      </c>
      <c r="D46" s="473">
        <f>DADOS!F40</f>
        <v>0</v>
      </c>
      <c r="E46" s="473"/>
      <c r="F46" s="473">
        <f t="shared" si="20"/>
        <v>0</v>
      </c>
      <c r="G46" s="473">
        <f t="shared" si="21"/>
        <v>0</v>
      </c>
      <c r="H46" s="473">
        <f t="shared" si="22"/>
        <v>0</v>
      </c>
      <c r="I46" s="473">
        <f t="shared" si="23"/>
        <v>0</v>
      </c>
      <c r="J46" s="473">
        <f t="shared" si="35"/>
        <v>0</v>
      </c>
      <c r="K46" s="473">
        <f t="shared" si="36"/>
        <v>0</v>
      </c>
      <c r="L46" s="473">
        <f t="shared" si="24"/>
        <v>0</v>
      </c>
      <c r="M46" s="473">
        <f t="shared" si="25"/>
        <v>0</v>
      </c>
      <c r="N46" s="473">
        <f t="shared" si="26"/>
        <v>0</v>
      </c>
      <c r="O46" s="500">
        <v>3.5000000000000003E-2</v>
      </c>
      <c r="P46" s="473">
        <f t="shared" si="27"/>
        <v>0</v>
      </c>
      <c r="Q46" s="474">
        <f t="shared" si="28"/>
        <v>0</v>
      </c>
      <c r="R46" s="474">
        <f t="shared" si="12"/>
        <v>0</v>
      </c>
      <c r="S46" s="474">
        <f t="shared" si="13"/>
        <v>0</v>
      </c>
      <c r="T46" s="474">
        <f t="shared" si="13"/>
        <v>0</v>
      </c>
      <c r="U46" s="474">
        <f t="shared" si="14"/>
        <v>0</v>
      </c>
      <c r="V46" s="473">
        <f t="shared" si="29"/>
        <v>0</v>
      </c>
      <c r="W46" s="473">
        <f t="shared" si="16"/>
        <v>0</v>
      </c>
      <c r="X46" s="475">
        <f t="shared" si="30"/>
        <v>0</v>
      </c>
      <c r="Z46" s="377">
        <f t="shared" si="31"/>
        <v>0</v>
      </c>
      <c r="AA46" s="348">
        <f>'PLANILHA GERAL'!$J$25</f>
        <v>371.29</v>
      </c>
      <c r="AB46" s="348">
        <f>'PLANILHA GERAL'!$J$44</f>
        <v>113.04</v>
      </c>
      <c r="AC46" s="348">
        <f>'PLANILHA GERAL'!$J$26</f>
        <v>161.68</v>
      </c>
      <c r="AD46" s="348">
        <f>'PLANILHA GERAL'!$J$43</f>
        <v>219.78</v>
      </c>
      <c r="AE46" s="348">
        <f t="shared" si="32"/>
        <v>0</v>
      </c>
      <c r="AG46" s="348">
        <f>'PLANILHA GERAL'!$J$45</f>
        <v>20.28</v>
      </c>
      <c r="AH46" s="348">
        <f>'PLANILHA GERAL'!$J$46</f>
        <v>48.14</v>
      </c>
      <c r="AI46" s="348">
        <f>'PLANILHA GERAL'!$J$47</f>
        <v>56.52</v>
      </c>
      <c r="AJ46" s="348">
        <f>'PLANILHA GERAL'!$J$26</f>
        <v>161.68</v>
      </c>
      <c r="AK46" s="348">
        <f t="shared" si="33"/>
        <v>0</v>
      </c>
      <c r="AM46" s="348">
        <f>'PLANILHA GERAL'!$J$143</f>
        <v>13.47</v>
      </c>
      <c r="AN46" s="348">
        <f>'PLANILHA GERAL'!$J$144</f>
        <v>4.4000000000000004</v>
      </c>
      <c r="AO46" s="348">
        <f>'PLANILHA GERAL'!$J$145</f>
        <v>3339.24</v>
      </c>
      <c r="AP46" s="348">
        <f>'PLANILHA GERAL'!$J$146</f>
        <v>2.98</v>
      </c>
      <c r="AQ46" s="348">
        <f>'PLANILHA GERAL'!$J$147</f>
        <v>8.8800000000000008</v>
      </c>
      <c r="AR46" s="348">
        <f>'PLANILHA GERAL'!$J$148</f>
        <v>576.21</v>
      </c>
      <c r="AS46" s="348">
        <f>'PLANILHA GERAL'!$J$150</f>
        <v>26.91</v>
      </c>
      <c r="AT46" s="348">
        <f>'PLANILHA GERAL'!$J$151</f>
        <v>11.62</v>
      </c>
      <c r="AU46" s="348">
        <f>'PLANILHA GERAL'!$J$152</f>
        <v>3.7</v>
      </c>
      <c r="AV46" s="348">
        <f t="shared" si="34"/>
        <v>0</v>
      </c>
    </row>
    <row r="47" spans="1:48" ht="51" hidden="1" thickTop="1" thickBot="1">
      <c r="A47" s="470">
        <f>DADOS!A41</f>
        <v>0</v>
      </c>
      <c r="B47" s="471">
        <f>DADOS!B41</f>
        <v>0</v>
      </c>
      <c r="C47" s="472">
        <f>DADOS!E41</f>
        <v>0</v>
      </c>
      <c r="D47" s="473">
        <f>DADOS!F41</f>
        <v>0</v>
      </c>
      <c r="E47" s="473"/>
      <c r="F47" s="473">
        <f t="shared" si="20"/>
        <v>0</v>
      </c>
      <c r="G47" s="473">
        <f t="shared" si="21"/>
        <v>0</v>
      </c>
      <c r="H47" s="473">
        <f t="shared" si="22"/>
        <v>0</v>
      </c>
      <c r="I47" s="473">
        <f t="shared" si="23"/>
        <v>0</v>
      </c>
      <c r="J47" s="473">
        <f t="shared" si="35"/>
        <v>0</v>
      </c>
      <c r="K47" s="473">
        <f t="shared" si="36"/>
        <v>0</v>
      </c>
      <c r="L47" s="473">
        <f t="shared" si="24"/>
        <v>0</v>
      </c>
      <c r="M47" s="473">
        <f t="shared" si="25"/>
        <v>0</v>
      </c>
      <c r="N47" s="473">
        <f t="shared" si="26"/>
        <v>0</v>
      </c>
      <c r="O47" s="500">
        <v>3.5000000000000003E-2</v>
      </c>
      <c r="P47" s="473">
        <f t="shared" si="27"/>
        <v>0</v>
      </c>
      <c r="Q47" s="474">
        <f t="shared" si="28"/>
        <v>0</v>
      </c>
      <c r="R47" s="474">
        <f t="shared" si="12"/>
        <v>0</v>
      </c>
      <c r="S47" s="474">
        <f t="shared" si="13"/>
        <v>0</v>
      </c>
      <c r="T47" s="474">
        <f t="shared" si="13"/>
        <v>0</v>
      </c>
      <c r="U47" s="474">
        <f t="shared" si="14"/>
        <v>0</v>
      </c>
      <c r="V47" s="473">
        <f t="shared" si="29"/>
        <v>0</v>
      </c>
      <c r="W47" s="473">
        <f t="shared" si="16"/>
        <v>0</v>
      </c>
      <c r="X47" s="475">
        <f t="shared" si="30"/>
        <v>0</v>
      </c>
      <c r="Z47" s="377">
        <f t="shared" si="31"/>
        <v>0</v>
      </c>
      <c r="AA47" s="348">
        <f>'PLANILHA GERAL'!$J$25</f>
        <v>371.29</v>
      </c>
      <c r="AB47" s="348">
        <f>'PLANILHA GERAL'!$J$44</f>
        <v>113.04</v>
      </c>
      <c r="AC47" s="348">
        <f>'PLANILHA GERAL'!$J$26</f>
        <v>161.68</v>
      </c>
      <c r="AD47" s="348">
        <f>'PLANILHA GERAL'!$J$43</f>
        <v>219.78</v>
      </c>
      <c r="AE47" s="348">
        <f t="shared" si="32"/>
        <v>0</v>
      </c>
      <c r="AG47" s="348">
        <f>'PLANILHA GERAL'!$J$45</f>
        <v>20.28</v>
      </c>
      <c r="AH47" s="348">
        <f>'PLANILHA GERAL'!$J$46</f>
        <v>48.14</v>
      </c>
      <c r="AI47" s="348">
        <f>'PLANILHA GERAL'!$J$47</f>
        <v>56.52</v>
      </c>
      <c r="AJ47" s="348">
        <f>'PLANILHA GERAL'!$J$26</f>
        <v>161.68</v>
      </c>
      <c r="AK47" s="348">
        <f t="shared" si="33"/>
        <v>0</v>
      </c>
      <c r="AM47" s="348">
        <f>'PLANILHA GERAL'!$J$143</f>
        <v>13.47</v>
      </c>
      <c r="AN47" s="348">
        <f>'PLANILHA GERAL'!$J$144</f>
        <v>4.4000000000000004</v>
      </c>
      <c r="AO47" s="348">
        <f>'PLANILHA GERAL'!$J$145</f>
        <v>3339.24</v>
      </c>
      <c r="AP47" s="348">
        <f>'PLANILHA GERAL'!$J$146</f>
        <v>2.98</v>
      </c>
      <c r="AQ47" s="348">
        <f>'PLANILHA GERAL'!$J$147</f>
        <v>8.8800000000000008</v>
      </c>
      <c r="AR47" s="348">
        <f>'PLANILHA GERAL'!$J$148</f>
        <v>576.21</v>
      </c>
      <c r="AS47" s="348">
        <f>'PLANILHA GERAL'!$J$150</f>
        <v>26.91</v>
      </c>
      <c r="AT47" s="348">
        <f>'PLANILHA GERAL'!$J$151</f>
        <v>11.62</v>
      </c>
      <c r="AU47" s="348">
        <f>'PLANILHA GERAL'!$J$152</f>
        <v>3.7</v>
      </c>
      <c r="AV47" s="348">
        <f t="shared" si="34"/>
        <v>0</v>
      </c>
    </row>
    <row r="48" spans="1:48" ht="80.099999999999994" hidden="1" customHeight="1" thickTop="1" thickBot="1">
      <c r="A48" s="470">
        <f>DADOS!A42</f>
        <v>0</v>
      </c>
      <c r="B48" s="471">
        <f>DADOS!B42</f>
        <v>0</v>
      </c>
      <c r="C48" s="472">
        <f>DADOS!E42</f>
        <v>0</v>
      </c>
      <c r="D48" s="473">
        <f>DADOS!F42</f>
        <v>0</v>
      </c>
      <c r="E48" s="473"/>
      <c r="F48" s="473">
        <f t="shared" si="20"/>
        <v>0</v>
      </c>
      <c r="G48" s="473">
        <f t="shared" si="21"/>
        <v>0</v>
      </c>
      <c r="H48" s="473">
        <f t="shared" si="22"/>
        <v>0</v>
      </c>
      <c r="I48" s="473">
        <f t="shared" si="23"/>
        <v>0</v>
      </c>
      <c r="J48" s="473">
        <f t="shared" si="35"/>
        <v>0</v>
      </c>
      <c r="K48" s="473">
        <f t="shared" si="36"/>
        <v>0</v>
      </c>
      <c r="L48" s="473">
        <f t="shared" si="24"/>
        <v>0</v>
      </c>
      <c r="M48" s="473">
        <f t="shared" si="25"/>
        <v>0</v>
      </c>
      <c r="N48" s="473">
        <f t="shared" si="26"/>
        <v>0</v>
      </c>
      <c r="O48" s="500">
        <v>3.5000000000000003E-2</v>
      </c>
      <c r="P48" s="473">
        <f t="shared" si="27"/>
        <v>0</v>
      </c>
      <c r="Q48" s="474">
        <f t="shared" si="28"/>
        <v>0</v>
      </c>
      <c r="R48" s="474">
        <f t="shared" si="12"/>
        <v>0</v>
      </c>
      <c r="S48" s="474">
        <f t="shared" si="13"/>
        <v>0</v>
      </c>
      <c r="T48" s="474">
        <f t="shared" si="13"/>
        <v>0</v>
      </c>
      <c r="U48" s="474">
        <f t="shared" si="14"/>
        <v>0</v>
      </c>
      <c r="V48" s="473">
        <f t="shared" si="29"/>
        <v>0</v>
      </c>
      <c r="W48" s="473">
        <f t="shared" si="16"/>
        <v>0</v>
      </c>
      <c r="X48" s="475">
        <f t="shared" si="30"/>
        <v>0</v>
      </c>
      <c r="Z48" s="377">
        <f t="shared" si="31"/>
        <v>0</v>
      </c>
      <c r="AA48" s="348">
        <f>'PLANILHA GERAL'!$J$25</f>
        <v>371.29</v>
      </c>
      <c r="AB48" s="348">
        <f>'PLANILHA GERAL'!$J$44</f>
        <v>113.04</v>
      </c>
      <c r="AC48" s="348">
        <f>'PLANILHA GERAL'!$J$26</f>
        <v>161.68</v>
      </c>
      <c r="AD48" s="348">
        <f>'PLANILHA GERAL'!$J$43</f>
        <v>219.78</v>
      </c>
      <c r="AE48" s="348">
        <f t="shared" si="32"/>
        <v>0</v>
      </c>
      <c r="AG48" s="348">
        <f>'PLANILHA GERAL'!$J$45</f>
        <v>20.28</v>
      </c>
      <c r="AH48" s="348">
        <f>'PLANILHA GERAL'!$J$46</f>
        <v>48.14</v>
      </c>
      <c r="AI48" s="348">
        <f>'PLANILHA GERAL'!$J$47</f>
        <v>56.52</v>
      </c>
      <c r="AJ48" s="348">
        <f>'PLANILHA GERAL'!$J$26</f>
        <v>161.68</v>
      </c>
      <c r="AK48" s="348">
        <f t="shared" si="33"/>
        <v>0</v>
      </c>
      <c r="AM48" s="348">
        <f>'PLANILHA GERAL'!$J$143</f>
        <v>13.47</v>
      </c>
      <c r="AN48" s="348">
        <f>'PLANILHA GERAL'!$J$144</f>
        <v>4.4000000000000004</v>
      </c>
      <c r="AO48" s="348">
        <f>'PLANILHA GERAL'!$J$145</f>
        <v>3339.24</v>
      </c>
      <c r="AP48" s="348">
        <f>'PLANILHA GERAL'!$J$146</f>
        <v>2.98</v>
      </c>
      <c r="AQ48" s="348">
        <f>'PLANILHA GERAL'!$J$147</f>
        <v>8.8800000000000008</v>
      </c>
      <c r="AR48" s="348">
        <f>'PLANILHA GERAL'!$J$148</f>
        <v>576.21</v>
      </c>
      <c r="AS48" s="348">
        <f>'PLANILHA GERAL'!$J$150</f>
        <v>26.91</v>
      </c>
      <c r="AT48" s="348">
        <f>'PLANILHA GERAL'!$J$151</f>
        <v>11.62</v>
      </c>
      <c r="AU48" s="348">
        <f>'PLANILHA GERAL'!$J$152</f>
        <v>3.7</v>
      </c>
      <c r="AV48" s="348">
        <f t="shared" si="34"/>
        <v>0</v>
      </c>
    </row>
    <row r="49" spans="1:48" ht="80.099999999999994" hidden="1" customHeight="1" thickTop="1" thickBot="1">
      <c r="A49" s="470">
        <f>DADOS!A43</f>
        <v>0</v>
      </c>
      <c r="B49" s="471">
        <f>DADOS!B43</f>
        <v>0</v>
      </c>
      <c r="C49" s="472">
        <f>DADOS!E43</f>
        <v>0</v>
      </c>
      <c r="D49" s="473">
        <f>DADOS!F43</f>
        <v>0</v>
      </c>
      <c r="E49" s="473"/>
      <c r="F49" s="473">
        <f t="shared" si="20"/>
        <v>0</v>
      </c>
      <c r="G49" s="473">
        <f t="shared" si="21"/>
        <v>0</v>
      </c>
      <c r="H49" s="473">
        <f t="shared" si="22"/>
        <v>0</v>
      </c>
      <c r="I49" s="473">
        <f t="shared" si="23"/>
        <v>0</v>
      </c>
      <c r="J49" s="473">
        <f t="shared" si="35"/>
        <v>0</v>
      </c>
      <c r="K49" s="473">
        <f t="shared" si="36"/>
        <v>0</v>
      </c>
      <c r="L49" s="473">
        <f t="shared" si="24"/>
        <v>0</v>
      </c>
      <c r="M49" s="473">
        <f t="shared" si="25"/>
        <v>0</v>
      </c>
      <c r="N49" s="473">
        <f t="shared" si="26"/>
        <v>0</v>
      </c>
      <c r="O49" s="500">
        <v>3.5000000000000003E-2</v>
      </c>
      <c r="P49" s="473">
        <f t="shared" si="27"/>
        <v>0</v>
      </c>
      <c r="Q49" s="474">
        <f t="shared" si="28"/>
        <v>0</v>
      </c>
      <c r="R49" s="474">
        <f t="shared" si="12"/>
        <v>0</v>
      </c>
      <c r="S49" s="474">
        <f t="shared" si="13"/>
        <v>0</v>
      </c>
      <c r="T49" s="474">
        <f t="shared" si="13"/>
        <v>0</v>
      </c>
      <c r="U49" s="474">
        <f t="shared" si="14"/>
        <v>0</v>
      </c>
      <c r="V49" s="473">
        <f t="shared" si="29"/>
        <v>0</v>
      </c>
      <c r="W49" s="473">
        <f t="shared" si="16"/>
        <v>0</v>
      </c>
      <c r="X49" s="475">
        <f t="shared" si="30"/>
        <v>0</v>
      </c>
      <c r="Z49" s="377">
        <f t="shared" si="31"/>
        <v>0</v>
      </c>
      <c r="AA49" s="348">
        <f>'PLANILHA GERAL'!$J$25</f>
        <v>371.29</v>
      </c>
      <c r="AB49" s="348">
        <f>'PLANILHA GERAL'!$J$44</f>
        <v>113.04</v>
      </c>
      <c r="AC49" s="348">
        <f>'PLANILHA GERAL'!$J$26</f>
        <v>161.68</v>
      </c>
      <c r="AD49" s="348">
        <f>'PLANILHA GERAL'!$J$43</f>
        <v>219.78</v>
      </c>
      <c r="AE49" s="348">
        <f t="shared" si="32"/>
        <v>0</v>
      </c>
      <c r="AG49" s="348">
        <f>'PLANILHA GERAL'!$J$45</f>
        <v>20.28</v>
      </c>
      <c r="AH49" s="348">
        <f>'PLANILHA GERAL'!$J$46</f>
        <v>48.14</v>
      </c>
      <c r="AI49" s="348">
        <f>'PLANILHA GERAL'!$J$47</f>
        <v>56.52</v>
      </c>
      <c r="AJ49" s="348">
        <f>'PLANILHA GERAL'!$J$26</f>
        <v>161.68</v>
      </c>
      <c r="AK49" s="348">
        <f t="shared" si="33"/>
        <v>0</v>
      </c>
      <c r="AM49" s="348">
        <f>'PLANILHA GERAL'!$J$143</f>
        <v>13.47</v>
      </c>
      <c r="AN49" s="348">
        <f>'PLANILHA GERAL'!$J$144</f>
        <v>4.4000000000000004</v>
      </c>
      <c r="AO49" s="348">
        <f>'PLANILHA GERAL'!$J$145</f>
        <v>3339.24</v>
      </c>
      <c r="AP49" s="348">
        <f>'PLANILHA GERAL'!$J$146</f>
        <v>2.98</v>
      </c>
      <c r="AQ49" s="348">
        <f>'PLANILHA GERAL'!$J$147</f>
        <v>8.8800000000000008</v>
      </c>
      <c r="AR49" s="348">
        <f>'PLANILHA GERAL'!$J$148</f>
        <v>576.21</v>
      </c>
      <c r="AS49" s="348">
        <f>'PLANILHA GERAL'!$J$150</f>
        <v>26.91</v>
      </c>
      <c r="AT49" s="348">
        <f>'PLANILHA GERAL'!$J$151</f>
        <v>11.62</v>
      </c>
      <c r="AU49" s="348">
        <f>'PLANILHA GERAL'!$J$152</f>
        <v>3.7</v>
      </c>
      <c r="AV49" s="348">
        <f t="shared" si="34"/>
        <v>0</v>
      </c>
    </row>
    <row r="50" spans="1:48" ht="80.099999999999994" hidden="1" customHeight="1" thickTop="1" thickBot="1">
      <c r="A50" s="470">
        <f>DADOS!A44</f>
        <v>0</v>
      </c>
      <c r="B50" s="471">
        <f>DADOS!B44</f>
        <v>0</v>
      </c>
      <c r="C50" s="472">
        <f>DADOS!E44</f>
        <v>0</v>
      </c>
      <c r="D50" s="473">
        <f>DADOS!F44</f>
        <v>0</v>
      </c>
      <c r="E50" s="473"/>
      <c r="F50" s="473">
        <f t="shared" si="20"/>
        <v>0</v>
      </c>
      <c r="G50" s="473">
        <f t="shared" si="21"/>
        <v>0</v>
      </c>
      <c r="H50" s="473">
        <f t="shared" si="22"/>
        <v>0</v>
      </c>
      <c r="I50" s="473">
        <f t="shared" si="23"/>
        <v>0</v>
      </c>
      <c r="J50" s="473">
        <f t="shared" si="35"/>
        <v>0</v>
      </c>
      <c r="K50" s="473">
        <f t="shared" si="36"/>
        <v>0</v>
      </c>
      <c r="L50" s="473">
        <f t="shared" si="24"/>
        <v>0</v>
      </c>
      <c r="M50" s="473">
        <f t="shared" si="25"/>
        <v>0</v>
      </c>
      <c r="N50" s="473">
        <f t="shared" si="26"/>
        <v>0</v>
      </c>
      <c r="O50" s="500">
        <v>3.5000000000000003E-2</v>
      </c>
      <c r="P50" s="473">
        <f t="shared" si="27"/>
        <v>0</v>
      </c>
      <c r="Q50" s="474">
        <f t="shared" si="28"/>
        <v>0</v>
      </c>
      <c r="R50" s="474">
        <f t="shared" si="12"/>
        <v>0</v>
      </c>
      <c r="S50" s="474">
        <f t="shared" si="13"/>
        <v>0</v>
      </c>
      <c r="T50" s="474">
        <f t="shared" si="13"/>
        <v>0</v>
      </c>
      <c r="U50" s="474">
        <f t="shared" si="14"/>
        <v>0</v>
      </c>
      <c r="V50" s="473">
        <f t="shared" si="29"/>
        <v>0</v>
      </c>
      <c r="W50" s="473">
        <f t="shared" si="16"/>
        <v>0</v>
      </c>
      <c r="X50" s="475">
        <f t="shared" si="30"/>
        <v>0</v>
      </c>
      <c r="Z50" s="377">
        <f t="shared" si="31"/>
        <v>0</v>
      </c>
      <c r="AA50" s="348">
        <f>'PLANILHA GERAL'!$J$25</f>
        <v>371.29</v>
      </c>
      <c r="AB50" s="348">
        <f>'PLANILHA GERAL'!$J$44</f>
        <v>113.04</v>
      </c>
      <c r="AC50" s="348">
        <f>'PLANILHA GERAL'!$J$26</f>
        <v>161.68</v>
      </c>
      <c r="AD50" s="348">
        <f>'PLANILHA GERAL'!$J$43</f>
        <v>219.78</v>
      </c>
      <c r="AE50" s="348">
        <f t="shared" si="32"/>
        <v>0</v>
      </c>
      <c r="AG50" s="348">
        <f>'PLANILHA GERAL'!$J$45</f>
        <v>20.28</v>
      </c>
      <c r="AH50" s="348">
        <f>'PLANILHA GERAL'!$J$46</f>
        <v>48.14</v>
      </c>
      <c r="AI50" s="348">
        <f>'PLANILHA GERAL'!$J$47</f>
        <v>56.52</v>
      </c>
      <c r="AJ50" s="348">
        <f>'PLANILHA GERAL'!$J$26</f>
        <v>161.68</v>
      </c>
      <c r="AK50" s="348">
        <f t="shared" si="33"/>
        <v>0</v>
      </c>
      <c r="AM50" s="348">
        <f>'PLANILHA GERAL'!$J$143</f>
        <v>13.47</v>
      </c>
      <c r="AN50" s="348">
        <f>'PLANILHA GERAL'!$J$144</f>
        <v>4.4000000000000004</v>
      </c>
      <c r="AO50" s="348">
        <f>'PLANILHA GERAL'!$J$145</f>
        <v>3339.24</v>
      </c>
      <c r="AP50" s="348">
        <f>'PLANILHA GERAL'!$J$146</f>
        <v>2.98</v>
      </c>
      <c r="AQ50" s="348">
        <f>'PLANILHA GERAL'!$J$147</f>
        <v>8.8800000000000008</v>
      </c>
      <c r="AR50" s="348">
        <f>'PLANILHA GERAL'!$J$148</f>
        <v>576.21</v>
      </c>
      <c r="AS50" s="348">
        <f>'PLANILHA GERAL'!$J$150</f>
        <v>26.91</v>
      </c>
      <c r="AT50" s="348">
        <f>'PLANILHA GERAL'!$J$151</f>
        <v>11.62</v>
      </c>
      <c r="AU50" s="348">
        <f>'PLANILHA GERAL'!$J$152</f>
        <v>3.7</v>
      </c>
      <c r="AV50" s="348">
        <f t="shared" si="34"/>
        <v>0</v>
      </c>
    </row>
    <row r="51" spans="1:48" ht="51" hidden="1" thickTop="1" thickBot="1">
      <c r="A51" s="470">
        <f>DADOS!A45</f>
        <v>0</v>
      </c>
      <c r="B51" s="471">
        <f>DADOS!B45</f>
        <v>0</v>
      </c>
      <c r="C51" s="472">
        <f>DADOS!E45</f>
        <v>0</v>
      </c>
      <c r="D51" s="473">
        <f>DADOS!F45</f>
        <v>0</v>
      </c>
      <c r="E51" s="473"/>
      <c r="F51" s="473">
        <f t="shared" si="1"/>
        <v>0</v>
      </c>
      <c r="G51" s="473">
        <f t="shared" si="2"/>
        <v>0</v>
      </c>
      <c r="H51" s="473">
        <f>C51*E51*2*50%</f>
        <v>0</v>
      </c>
      <c r="I51" s="473">
        <f t="shared" si="4"/>
        <v>0</v>
      </c>
      <c r="J51" s="473">
        <f t="shared" si="35"/>
        <v>0</v>
      </c>
      <c r="K51" s="473">
        <f t="shared" si="36"/>
        <v>0</v>
      </c>
      <c r="L51" s="473">
        <f t="shared" si="5"/>
        <v>0</v>
      </c>
      <c r="M51" s="473">
        <f>C51*(D51-0.43*2)*0</f>
        <v>0</v>
      </c>
      <c r="N51" s="473">
        <f t="shared" si="9"/>
        <v>0</v>
      </c>
      <c r="O51" s="500">
        <v>3.5000000000000003E-2</v>
      </c>
      <c r="P51" s="473">
        <f>N51*O51</f>
        <v>0</v>
      </c>
      <c r="Q51" s="474">
        <f>P51*$Q$15</f>
        <v>0</v>
      </c>
      <c r="R51" s="474">
        <f t="shared" si="12"/>
        <v>0</v>
      </c>
      <c r="S51" s="474">
        <f t="shared" si="13"/>
        <v>0</v>
      </c>
      <c r="T51" s="474">
        <f t="shared" si="13"/>
        <v>0</v>
      </c>
      <c r="U51" s="474">
        <f t="shared" si="14"/>
        <v>0</v>
      </c>
      <c r="V51" s="473">
        <f t="shared" si="15"/>
        <v>0</v>
      </c>
      <c r="W51" s="473">
        <f>V51*1.3*$W$15</f>
        <v>0</v>
      </c>
      <c r="X51" s="475">
        <f t="shared" si="17"/>
        <v>0</v>
      </c>
      <c r="Z51" s="377">
        <f t="shared" si="0"/>
        <v>0</v>
      </c>
      <c r="AA51" s="348">
        <f>'PLANILHA GERAL'!$J$25</f>
        <v>371.29</v>
      </c>
      <c r="AB51" s="348">
        <f>'PLANILHA GERAL'!$J$44</f>
        <v>113.04</v>
      </c>
      <c r="AC51" s="348">
        <f>'PLANILHA GERAL'!$J$26</f>
        <v>161.68</v>
      </c>
      <c r="AD51" s="348">
        <f>'PLANILHA GERAL'!$J$43</f>
        <v>219.78</v>
      </c>
      <c r="AE51" s="348">
        <f t="shared" si="6"/>
        <v>0</v>
      </c>
      <c r="AG51" s="348">
        <f>'PLANILHA GERAL'!$J$45</f>
        <v>20.28</v>
      </c>
      <c r="AH51" s="348">
        <f>'PLANILHA GERAL'!$J$46</f>
        <v>48.14</v>
      </c>
      <c r="AI51" s="348">
        <f>'PLANILHA GERAL'!$J$47</f>
        <v>56.52</v>
      </c>
      <c r="AJ51" s="348">
        <f>'PLANILHA GERAL'!$J$26</f>
        <v>161.68</v>
      </c>
      <c r="AK51" s="348">
        <f t="shared" si="7"/>
        <v>0</v>
      </c>
      <c r="AM51" s="348">
        <f>'PLANILHA GERAL'!$J$143</f>
        <v>13.47</v>
      </c>
      <c r="AN51" s="348">
        <f>'PLANILHA GERAL'!$J$144</f>
        <v>4.4000000000000004</v>
      </c>
      <c r="AO51" s="348">
        <f>'PLANILHA GERAL'!$J$145</f>
        <v>3339.24</v>
      </c>
      <c r="AP51" s="348">
        <f>'PLANILHA GERAL'!$J$146</f>
        <v>2.98</v>
      </c>
      <c r="AQ51" s="348">
        <f>'PLANILHA GERAL'!$J$147</f>
        <v>8.8800000000000008</v>
      </c>
      <c r="AR51" s="348">
        <f>'PLANILHA GERAL'!$J$148</f>
        <v>576.21</v>
      </c>
      <c r="AS51" s="348">
        <f>'PLANILHA GERAL'!$J$150</f>
        <v>26.91</v>
      </c>
      <c r="AT51" s="348">
        <f>'PLANILHA GERAL'!$J$151</f>
        <v>11.62</v>
      </c>
      <c r="AU51" s="348">
        <f>'PLANILHA GERAL'!$J$152</f>
        <v>3.7</v>
      </c>
      <c r="AV51" s="348">
        <f t="shared" si="8"/>
        <v>0</v>
      </c>
    </row>
    <row r="52" spans="1:48" ht="80.099999999999994" hidden="1" customHeight="1" thickTop="1" thickBot="1">
      <c r="A52" s="470">
        <f>DADOS!A46</f>
        <v>0</v>
      </c>
      <c r="B52" s="471">
        <f>DADOS!B46</f>
        <v>0</v>
      </c>
      <c r="C52" s="472">
        <f>DADOS!E46</f>
        <v>0</v>
      </c>
      <c r="D52" s="473">
        <f>DADOS!F46</f>
        <v>0</v>
      </c>
      <c r="E52" s="473"/>
      <c r="F52" s="473">
        <f t="shared" si="1"/>
        <v>0</v>
      </c>
      <c r="G52" s="473">
        <f>F52*70%</f>
        <v>0</v>
      </c>
      <c r="H52" s="473">
        <f>C52*E52*2*70%</f>
        <v>0</v>
      </c>
      <c r="I52" s="473">
        <f>K52*0.43*0.1</f>
        <v>0</v>
      </c>
      <c r="J52" s="473">
        <f>C52*2*0</f>
        <v>0</v>
      </c>
      <c r="K52" s="473">
        <f>C52*2*0</f>
        <v>0</v>
      </c>
      <c r="L52" s="473">
        <f>F52+I52</f>
        <v>0</v>
      </c>
      <c r="M52" s="473">
        <f>C52*(D52-0.43*2)*0</f>
        <v>0</v>
      </c>
      <c r="N52" s="473">
        <f t="shared" si="9"/>
        <v>0</v>
      </c>
      <c r="O52" s="500">
        <v>3.5000000000000003E-2</v>
      </c>
      <c r="P52" s="473">
        <f>N52*O52</f>
        <v>0</v>
      </c>
      <c r="Q52" s="474">
        <f>P52*$Q$15</f>
        <v>0</v>
      </c>
      <c r="R52" s="474">
        <f t="shared" si="12"/>
        <v>0</v>
      </c>
      <c r="S52" s="474">
        <f t="shared" si="13"/>
        <v>0</v>
      </c>
      <c r="T52" s="474">
        <f t="shared" si="13"/>
        <v>0</v>
      </c>
      <c r="U52" s="474">
        <f t="shared" si="14"/>
        <v>0</v>
      </c>
      <c r="V52" s="473">
        <f>(R52+U52)*0.05+T52</f>
        <v>0</v>
      </c>
      <c r="W52" s="473">
        <f t="shared" si="16"/>
        <v>0</v>
      </c>
      <c r="X52" s="475">
        <f t="shared" si="17"/>
        <v>0</v>
      </c>
      <c r="Z52" s="377">
        <f>A52</f>
        <v>0</v>
      </c>
      <c r="AA52" s="348">
        <f>'PLANILHA GERAL'!$J$25</f>
        <v>371.29</v>
      </c>
      <c r="AB52" s="348">
        <f>'PLANILHA GERAL'!$J$44</f>
        <v>113.04</v>
      </c>
      <c r="AC52" s="348">
        <f>'PLANILHA GERAL'!$J$26</f>
        <v>161.68</v>
      </c>
      <c r="AD52" s="348">
        <f>'PLANILHA GERAL'!$J$43</f>
        <v>219.78</v>
      </c>
      <c r="AE52" s="348">
        <f>(F52*AA52)+(H52*AB52)+(F52*AC52)+(G52*AD52)</f>
        <v>0</v>
      </c>
      <c r="AG52" s="348">
        <f>'PLANILHA GERAL'!$J$45</f>
        <v>20.28</v>
      </c>
      <c r="AH52" s="348">
        <f>'PLANILHA GERAL'!$J$46</f>
        <v>48.14</v>
      </c>
      <c r="AI52" s="348">
        <f>'PLANILHA GERAL'!$J$47</f>
        <v>56.52</v>
      </c>
      <c r="AJ52" s="348">
        <f>'PLANILHA GERAL'!$J$26</f>
        <v>161.68</v>
      </c>
      <c r="AK52" s="348">
        <f>(I52*AG52)+(K52*AH52)+(J52*AI52)+(I52*AJ52)</f>
        <v>0</v>
      </c>
      <c r="AM52" s="348">
        <f>'PLANILHA GERAL'!$J$143</f>
        <v>13.47</v>
      </c>
      <c r="AN52" s="348">
        <f>'PLANILHA GERAL'!$J$144</f>
        <v>4.4000000000000004</v>
      </c>
      <c r="AO52" s="348">
        <f>'PLANILHA GERAL'!$J$145</f>
        <v>3339.24</v>
      </c>
      <c r="AP52" s="348">
        <f>'PLANILHA GERAL'!$J$146</f>
        <v>2.98</v>
      </c>
      <c r="AQ52" s="348">
        <f>'PLANILHA GERAL'!$J$147</f>
        <v>8.8800000000000008</v>
      </c>
      <c r="AR52" s="348">
        <f>'PLANILHA GERAL'!$J$148</f>
        <v>576.21</v>
      </c>
      <c r="AS52" s="348">
        <f>'PLANILHA GERAL'!$J$150</f>
        <v>26.91</v>
      </c>
      <c r="AT52" s="348">
        <f>'PLANILHA GERAL'!$J$151</f>
        <v>11.62</v>
      </c>
      <c r="AU52" s="348">
        <f>'PLANILHA GERAL'!$J$152</f>
        <v>3.7</v>
      </c>
      <c r="AV52" s="348">
        <f>M52*AM52+N52*AN52+P52*AO52+Q52*AP52+U52*AQ52+T52*AR52+R52*AS52+V52*AT52+W52*AU52</f>
        <v>0</v>
      </c>
    </row>
    <row r="53" spans="1:48" ht="80.099999999999994" hidden="1" customHeight="1" thickTop="1" thickBot="1">
      <c r="A53" s="470">
        <f>DADOS!A47</f>
        <v>0</v>
      </c>
      <c r="B53" s="471">
        <f>DADOS!B47</f>
        <v>0</v>
      </c>
      <c r="C53" s="472">
        <f>DADOS!E47</f>
        <v>0</v>
      </c>
      <c r="D53" s="473">
        <f>DADOS!F47</f>
        <v>0</v>
      </c>
      <c r="E53" s="473"/>
      <c r="F53" s="473">
        <f>H53*$F$15</f>
        <v>0</v>
      </c>
      <c r="G53" s="473">
        <f>F53*70%</f>
        <v>0</v>
      </c>
      <c r="H53" s="473">
        <f>C53*E53*2*70%</f>
        <v>0</v>
      </c>
      <c r="I53" s="473">
        <f>K53*0.43*0.1</f>
        <v>0</v>
      </c>
      <c r="J53" s="473">
        <f>C53*2</f>
        <v>0</v>
      </c>
      <c r="K53" s="473">
        <f>C53*2</f>
        <v>0</v>
      </c>
      <c r="L53" s="473">
        <f>F53+I53</f>
        <v>0</v>
      </c>
      <c r="M53" s="473">
        <f>C53*(D53-0.43*2)</f>
        <v>0</v>
      </c>
      <c r="N53" s="473">
        <f>C53*(D53-0.43*2)</f>
        <v>0</v>
      </c>
      <c r="O53" s="500">
        <v>3.5000000000000003E-2</v>
      </c>
      <c r="P53" s="473">
        <f>N53*O53</f>
        <v>0</v>
      </c>
      <c r="Q53" s="474">
        <f>P53*$Q$15</f>
        <v>0</v>
      </c>
      <c r="R53" s="474"/>
      <c r="S53" s="474"/>
      <c r="T53" s="474"/>
      <c r="U53" s="474"/>
      <c r="V53" s="473">
        <f>(R53+U53)*0.05+T53</f>
        <v>0</v>
      </c>
      <c r="W53" s="473">
        <f t="shared" si="16"/>
        <v>0</v>
      </c>
      <c r="X53" s="475">
        <f>C53*D53*15%</f>
        <v>0</v>
      </c>
      <c r="Z53" s="377">
        <f>A53</f>
        <v>0</v>
      </c>
      <c r="AA53" s="348">
        <f>'PLANILHA GERAL'!$J$25</f>
        <v>371.29</v>
      </c>
      <c r="AB53" s="348">
        <f>'PLANILHA GERAL'!$J$44</f>
        <v>113.04</v>
      </c>
      <c r="AC53" s="348">
        <f>'PLANILHA GERAL'!$J$26</f>
        <v>161.68</v>
      </c>
      <c r="AD53" s="348">
        <f>'PLANILHA GERAL'!$J$43</f>
        <v>219.78</v>
      </c>
      <c r="AE53" s="348">
        <f>(F53*AA53)+(H53*AB53)+(F53*AC53)+(G53*AD53)</f>
        <v>0</v>
      </c>
      <c r="AG53" s="348">
        <f>'PLANILHA GERAL'!$J$45</f>
        <v>20.28</v>
      </c>
      <c r="AH53" s="348">
        <f>'PLANILHA GERAL'!$J$46</f>
        <v>48.14</v>
      </c>
      <c r="AI53" s="348">
        <f>'PLANILHA GERAL'!$J$47</f>
        <v>56.52</v>
      </c>
      <c r="AJ53" s="348">
        <f>'PLANILHA GERAL'!$J$26</f>
        <v>161.68</v>
      </c>
      <c r="AK53" s="348">
        <f>(I53*AG53)+(K53*AH53)+(J53*AI53)+(I53*AJ53)</f>
        <v>0</v>
      </c>
      <c r="AM53" s="348">
        <f>'PLANILHA GERAL'!$J$143</f>
        <v>13.47</v>
      </c>
      <c r="AN53" s="348">
        <f>'PLANILHA GERAL'!$J$144</f>
        <v>4.4000000000000004</v>
      </c>
      <c r="AO53" s="348">
        <f>'PLANILHA GERAL'!$J$145</f>
        <v>3339.24</v>
      </c>
      <c r="AP53" s="348">
        <f>'PLANILHA GERAL'!$J$146</f>
        <v>2.98</v>
      </c>
      <c r="AQ53" s="348">
        <f>'PLANILHA GERAL'!$J$147</f>
        <v>8.8800000000000008</v>
      </c>
      <c r="AR53" s="348">
        <f>'PLANILHA GERAL'!$J$148</f>
        <v>576.21</v>
      </c>
      <c r="AS53" s="348">
        <f>'PLANILHA GERAL'!$J$150</f>
        <v>26.91</v>
      </c>
      <c r="AT53" s="348">
        <f>'PLANILHA GERAL'!$J$151</f>
        <v>11.62</v>
      </c>
      <c r="AU53" s="348">
        <f>'PLANILHA GERAL'!$J$152</f>
        <v>3.7</v>
      </c>
      <c r="AV53" s="348">
        <f>M53*AM53+N53*AN53+P53*AO53+Q53*AP53+U53*AQ53+T53*AR53+R53*AS53+V53*AT53+W53*AU53</f>
        <v>0</v>
      </c>
    </row>
    <row r="54" spans="1:48" ht="80.099999999999994" hidden="1" customHeight="1" thickTop="1" thickBot="1">
      <c r="A54" s="470">
        <f>DADOS!A48</f>
        <v>0</v>
      </c>
      <c r="B54" s="471">
        <f>DADOS!B48</f>
        <v>0</v>
      </c>
      <c r="C54" s="472">
        <f>DADOS!E48</f>
        <v>0</v>
      </c>
      <c r="D54" s="473">
        <f>DADOS!F48</f>
        <v>0</v>
      </c>
      <c r="E54" s="473"/>
      <c r="F54" s="473">
        <f>H54*$F$15</f>
        <v>0</v>
      </c>
      <c r="G54" s="473">
        <f>F54*70%</f>
        <v>0</v>
      </c>
      <c r="H54" s="473">
        <f>C54*E54*2*70%</f>
        <v>0</v>
      </c>
      <c r="I54" s="473">
        <f>K54*0.43*0.1</f>
        <v>0</v>
      </c>
      <c r="J54" s="473">
        <f>C54*2</f>
        <v>0</v>
      </c>
      <c r="K54" s="473">
        <f>C54*2</f>
        <v>0</v>
      </c>
      <c r="L54" s="473">
        <f>F54+I54</f>
        <v>0</v>
      </c>
      <c r="M54" s="473">
        <f>C54*(D54-0.43*2)</f>
        <v>0</v>
      </c>
      <c r="N54" s="473">
        <f>C54*(D54-0.43*2)</f>
        <v>0</v>
      </c>
      <c r="O54" s="500">
        <v>3.5000000000000003E-2</v>
      </c>
      <c r="P54" s="473">
        <f>N54*O54</f>
        <v>0</v>
      </c>
      <c r="Q54" s="474">
        <f>P54*$Q$15</f>
        <v>0</v>
      </c>
      <c r="R54" s="474"/>
      <c r="S54" s="474"/>
      <c r="T54" s="474"/>
      <c r="U54" s="474"/>
      <c r="V54" s="473">
        <f>(R54+U54)*0.05+T54</f>
        <v>0</v>
      </c>
      <c r="W54" s="473">
        <f t="shared" si="16"/>
        <v>0</v>
      </c>
      <c r="X54" s="475">
        <f>C54*D54*15%</f>
        <v>0</v>
      </c>
      <c r="Z54" s="377">
        <f>A54</f>
        <v>0</v>
      </c>
      <c r="AA54" s="348">
        <f>'PLANILHA GERAL'!$J$25</f>
        <v>371.29</v>
      </c>
      <c r="AB54" s="348">
        <f>'PLANILHA GERAL'!$J$44</f>
        <v>113.04</v>
      </c>
      <c r="AC54" s="348">
        <f>'PLANILHA GERAL'!$J$26</f>
        <v>161.68</v>
      </c>
      <c r="AD54" s="348">
        <f>'PLANILHA GERAL'!$J$43</f>
        <v>219.78</v>
      </c>
      <c r="AE54" s="348">
        <f>(F54*AA54)+(H54*AB54)+(F54*AC54)+(G54*AD54)</f>
        <v>0</v>
      </c>
      <c r="AG54" s="348">
        <f>'PLANILHA GERAL'!$J$45</f>
        <v>20.28</v>
      </c>
      <c r="AH54" s="348">
        <f>'PLANILHA GERAL'!$J$46</f>
        <v>48.14</v>
      </c>
      <c r="AI54" s="348">
        <f>'PLANILHA GERAL'!$J$47</f>
        <v>56.52</v>
      </c>
      <c r="AJ54" s="348">
        <f>'PLANILHA GERAL'!$J$26</f>
        <v>161.68</v>
      </c>
      <c r="AK54" s="348">
        <f>(I54*AG54)+(K54*AH54)+(J54*AI54)+(I54*AJ54)</f>
        <v>0</v>
      </c>
      <c r="AM54" s="348">
        <f>'PLANILHA GERAL'!$J$143</f>
        <v>13.47</v>
      </c>
      <c r="AN54" s="348">
        <f>'PLANILHA GERAL'!$J$144</f>
        <v>4.4000000000000004</v>
      </c>
      <c r="AO54" s="348">
        <f>'PLANILHA GERAL'!$J$145</f>
        <v>3339.24</v>
      </c>
      <c r="AP54" s="348">
        <f>'PLANILHA GERAL'!$J$146</f>
        <v>2.98</v>
      </c>
      <c r="AQ54" s="348">
        <f>'PLANILHA GERAL'!$J$147</f>
        <v>8.8800000000000008</v>
      </c>
      <c r="AR54" s="348">
        <f>'PLANILHA GERAL'!$J$148</f>
        <v>576.21</v>
      </c>
      <c r="AS54" s="348">
        <f>'PLANILHA GERAL'!$J$150</f>
        <v>26.91</v>
      </c>
      <c r="AT54" s="348">
        <f>'PLANILHA GERAL'!$J$151</f>
        <v>11.62</v>
      </c>
      <c r="AU54" s="348">
        <f>'PLANILHA GERAL'!$J$152</f>
        <v>3.7</v>
      </c>
      <c r="AV54" s="348">
        <f>M54*AM54+N54*AN54+P54*AO54+Q54*AP54+U54*AQ54+T54*AR54+R54*AS54+V54*AT54+W54*AU54</f>
        <v>0</v>
      </c>
    </row>
    <row r="55" spans="1:48" ht="80.099999999999994" hidden="1" customHeight="1" thickTop="1" thickBot="1">
      <c r="A55" s="470">
        <f>DADOS!A49</f>
        <v>0</v>
      </c>
      <c r="B55" s="471">
        <f>DADOS!B49</f>
        <v>0</v>
      </c>
      <c r="C55" s="472">
        <f>DADOS!E49</f>
        <v>0</v>
      </c>
      <c r="D55" s="473">
        <f>DADOS!F49</f>
        <v>0</v>
      </c>
      <c r="E55" s="473"/>
      <c r="F55" s="473">
        <f>H55*$F$15</f>
        <v>0</v>
      </c>
      <c r="G55" s="473">
        <f>F55*70%</f>
        <v>0</v>
      </c>
      <c r="H55" s="473">
        <f>C55*E55*2*70%</f>
        <v>0</v>
      </c>
      <c r="I55" s="473">
        <f>K55*0.43*0.1</f>
        <v>0</v>
      </c>
      <c r="J55" s="473">
        <f>C55*2</f>
        <v>0</v>
      </c>
      <c r="K55" s="473">
        <f>C55*2</f>
        <v>0</v>
      </c>
      <c r="L55" s="473">
        <f>F55+I55</f>
        <v>0</v>
      </c>
      <c r="M55" s="473">
        <f>C55*(D55-0.43*2)</f>
        <v>0</v>
      </c>
      <c r="N55" s="473">
        <f>C55*(D55-0.43*2)</f>
        <v>0</v>
      </c>
      <c r="O55" s="500">
        <v>3.5000000000000003E-2</v>
      </c>
      <c r="P55" s="473">
        <f>N55*O55</f>
        <v>0</v>
      </c>
      <c r="Q55" s="474">
        <f>P55*$Q$15</f>
        <v>0</v>
      </c>
      <c r="R55" s="474"/>
      <c r="S55" s="474"/>
      <c r="T55" s="474"/>
      <c r="U55" s="474"/>
      <c r="V55" s="473">
        <f>(R55+U55)*0.05+T55</f>
        <v>0</v>
      </c>
      <c r="W55" s="473">
        <f t="shared" si="16"/>
        <v>0</v>
      </c>
      <c r="X55" s="475">
        <f>C55*D55*15%</f>
        <v>0</v>
      </c>
      <c r="Z55" s="377">
        <f>A55</f>
        <v>0</v>
      </c>
      <c r="AA55" s="348">
        <f>'PLANILHA GERAL'!$J$25</f>
        <v>371.29</v>
      </c>
      <c r="AB55" s="348">
        <f>'PLANILHA GERAL'!$J$44</f>
        <v>113.04</v>
      </c>
      <c r="AC55" s="348">
        <f>'PLANILHA GERAL'!$J$26</f>
        <v>161.68</v>
      </c>
      <c r="AD55" s="348">
        <f>'PLANILHA GERAL'!$J$43</f>
        <v>219.78</v>
      </c>
      <c r="AE55" s="348">
        <f>(F55*AA55)+(H55*AB55)+(F55*AC55)+(G55*AD55)</f>
        <v>0</v>
      </c>
      <c r="AG55" s="348">
        <f>'PLANILHA GERAL'!$J$45</f>
        <v>20.28</v>
      </c>
      <c r="AH55" s="348">
        <f>'PLANILHA GERAL'!$J$46</f>
        <v>48.14</v>
      </c>
      <c r="AI55" s="348">
        <f>'PLANILHA GERAL'!$J$47</f>
        <v>56.52</v>
      </c>
      <c r="AJ55" s="348">
        <f>'PLANILHA GERAL'!$J$26</f>
        <v>161.68</v>
      </c>
      <c r="AK55" s="348">
        <f>(I55*AG55)+(K55*AH55)+(J55*AI55)+(I55*AJ55)</f>
        <v>0</v>
      </c>
      <c r="AM55" s="348">
        <f>'PLANILHA GERAL'!$J$143</f>
        <v>13.47</v>
      </c>
      <c r="AN55" s="348">
        <f>'PLANILHA GERAL'!$J$144</f>
        <v>4.4000000000000004</v>
      </c>
      <c r="AO55" s="348">
        <f>'PLANILHA GERAL'!$J$145</f>
        <v>3339.24</v>
      </c>
      <c r="AP55" s="348">
        <f>'PLANILHA GERAL'!$J$146</f>
        <v>2.98</v>
      </c>
      <c r="AQ55" s="348">
        <f>'PLANILHA GERAL'!$J$147</f>
        <v>8.8800000000000008</v>
      </c>
      <c r="AR55" s="348">
        <f>'PLANILHA GERAL'!$J$148</f>
        <v>576.21</v>
      </c>
      <c r="AS55" s="348">
        <f>'PLANILHA GERAL'!$J$150</f>
        <v>26.91</v>
      </c>
      <c r="AT55" s="348">
        <f>'PLANILHA GERAL'!$J$151</f>
        <v>11.62</v>
      </c>
      <c r="AU55" s="348">
        <f>'PLANILHA GERAL'!$J$152</f>
        <v>3.7</v>
      </c>
      <c r="AV55" s="348">
        <f>M55*AM55+N55*AN55+P55*AO55+Q55*AP55+U55*AQ55+T55*AR55+R55*AS55+V55*AT55+W55*AU55</f>
        <v>0</v>
      </c>
    </row>
    <row r="56" spans="1:48" s="359" customFormat="1" ht="115.5" customHeight="1" thickBot="1">
      <c r="A56" s="1723" t="s">
        <v>330</v>
      </c>
      <c r="B56" s="1724"/>
      <c r="C56" s="476">
        <f>SUM(C18:C55)</f>
        <v>19050</v>
      </c>
      <c r="D56" s="476">
        <f>AVERAGE(D18:D55)</f>
        <v>0.4</v>
      </c>
      <c r="E56" s="476">
        <v>2</v>
      </c>
      <c r="F56" s="476">
        <f t="shared" ref="F56:N56" si="37">SUM(F18:F55)</f>
        <v>805</v>
      </c>
      <c r="G56" s="476">
        <f t="shared" si="37"/>
        <v>563.5</v>
      </c>
      <c r="H56" s="476">
        <f t="shared" si="37"/>
        <v>8050</v>
      </c>
      <c r="I56" s="476">
        <f t="shared" si="37"/>
        <v>881.5</v>
      </c>
      <c r="J56" s="476">
        <f t="shared" si="37"/>
        <v>20500</v>
      </c>
      <c r="K56" s="476">
        <f t="shared" si="37"/>
        <v>20500</v>
      </c>
      <c r="L56" s="476">
        <f t="shared" si="37"/>
        <v>1686.5</v>
      </c>
      <c r="M56" s="476">
        <f t="shared" si="37"/>
        <v>51037</v>
      </c>
      <c r="N56" s="476">
        <f t="shared" si="37"/>
        <v>120777</v>
      </c>
      <c r="O56" s="476"/>
      <c r="P56" s="476">
        <f t="shared" ref="P56:X56" si="38">SUM(P18:P55)</f>
        <v>4227.2</v>
      </c>
      <c r="Q56" s="476">
        <f t="shared" si="38"/>
        <v>105680</v>
      </c>
      <c r="R56" s="476">
        <f t="shared" si="38"/>
        <v>14645.4</v>
      </c>
      <c r="S56" s="476">
        <f t="shared" ref="S56" si="39">SUM(S18:S55)</f>
        <v>976.36</v>
      </c>
      <c r="T56" s="476">
        <f t="shared" si="38"/>
        <v>9275.42</v>
      </c>
      <c r="U56" s="476">
        <f t="shared" si="38"/>
        <v>6974</v>
      </c>
      <c r="V56" s="476">
        <f t="shared" si="38"/>
        <v>10356.39</v>
      </c>
      <c r="W56" s="476">
        <f t="shared" si="38"/>
        <v>131940.41</v>
      </c>
      <c r="X56" s="476">
        <f t="shared" si="38"/>
        <v>14039.27</v>
      </c>
    </row>
    <row r="57" spans="1:48" s="359" customFormat="1" ht="20.100000000000001" customHeight="1">
      <c r="B57" s="378"/>
      <c r="C57" s="378"/>
      <c r="D57" s="378"/>
      <c r="E57" s="378"/>
      <c r="F57" s="378"/>
      <c r="G57" s="378"/>
      <c r="H57" s="378"/>
      <c r="I57" s="378"/>
      <c r="J57" s="378"/>
      <c r="K57" s="378"/>
      <c r="L57" s="378"/>
      <c r="M57" s="378"/>
      <c r="N57" s="378"/>
      <c r="O57" s="378"/>
      <c r="P57" s="378"/>
      <c r="Q57" s="378"/>
      <c r="R57" s="378"/>
      <c r="S57" s="378"/>
      <c r="T57" s="378"/>
      <c r="U57" s="378"/>
      <c r="V57" s="378"/>
      <c r="W57" s="378"/>
      <c r="X57" s="378"/>
    </row>
    <row r="58" spans="1:48" s="359" customFormat="1" ht="20.100000000000001" customHeight="1">
      <c r="B58" s="378"/>
      <c r="C58" s="378"/>
      <c r="D58" s="378"/>
      <c r="E58" s="378"/>
      <c r="F58" s="378"/>
      <c r="G58" s="378"/>
      <c r="H58" s="378"/>
      <c r="I58" s="378"/>
      <c r="J58" s="378"/>
      <c r="K58" s="378"/>
      <c r="L58" s="378"/>
      <c r="M58" s="378"/>
      <c r="N58" s="378"/>
      <c r="O58" s="378"/>
      <c r="P58" s="378"/>
      <c r="Q58" s="378"/>
      <c r="R58" s="378"/>
      <c r="S58" s="378"/>
      <c r="T58" s="378"/>
      <c r="U58" s="378"/>
      <c r="V58" s="378"/>
      <c r="W58" s="378"/>
      <c r="X58" s="378"/>
    </row>
    <row r="59" spans="1:48" s="359" customFormat="1" ht="20.100000000000001" customHeight="1">
      <c r="B59" s="378"/>
      <c r="C59" s="378"/>
      <c r="D59" s="378"/>
      <c r="E59" s="378"/>
      <c r="F59" s="378"/>
      <c r="G59" s="378"/>
      <c r="H59" s="378"/>
      <c r="I59" s="378"/>
      <c r="J59" s="378"/>
      <c r="K59" s="378"/>
      <c r="L59" s="378"/>
      <c r="M59" s="378"/>
      <c r="N59" s="378"/>
      <c r="O59" s="378"/>
      <c r="P59" s="378"/>
      <c r="Q59" s="378"/>
      <c r="R59" s="378"/>
      <c r="S59" s="378"/>
      <c r="T59" s="378"/>
      <c r="U59" s="378"/>
      <c r="V59" s="378"/>
      <c r="W59" s="378"/>
      <c r="X59" s="378"/>
    </row>
    <row r="60" spans="1:48" s="359" customFormat="1" ht="20.100000000000001" customHeight="1">
      <c r="B60" s="378"/>
      <c r="C60" s="378"/>
      <c r="D60" s="378"/>
      <c r="E60" s="378"/>
      <c r="F60" s="378"/>
      <c r="G60" s="378"/>
      <c r="H60" s="378"/>
      <c r="I60" s="378"/>
      <c r="J60" s="378"/>
      <c r="K60" s="378"/>
      <c r="L60" s="378"/>
      <c r="M60" s="378"/>
      <c r="N60" s="378"/>
      <c r="O60" s="378"/>
      <c r="P60" s="378"/>
      <c r="Q60" s="378"/>
      <c r="R60" s="378"/>
      <c r="S60" s="378"/>
      <c r="T60" s="378"/>
      <c r="U60" s="378"/>
      <c r="V60" s="378"/>
      <c r="W60" s="378"/>
      <c r="X60" s="378"/>
    </row>
    <row r="61" spans="1:48" s="359" customFormat="1" ht="20.100000000000001" customHeight="1">
      <c r="B61" s="378"/>
      <c r="C61" s="378"/>
      <c r="D61" s="378"/>
      <c r="E61" s="378"/>
      <c r="F61" s="378"/>
      <c r="G61" s="378"/>
      <c r="H61" s="378"/>
      <c r="I61" s="378"/>
      <c r="J61" s="378"/>
      <c r="K61" s="378"/>
      <c r="L61" s="378"/>
      <c r="M61" s="378"/>
      <c r="N61" s="378"/>
      <c r="O61" s="378"/>
      <c r="P61" s="378"/>
      <c r="Q61" s="378"/>
      <c r="R61" s="378"/>
      <c r="S61" s="378"/>
      <c r="T61" s="378"/>
      <c r="U61" s="378"/>
      <c r="V61" s="378"/>
      <c r="W61" s="378"/>
      <c r="X61" s="378"/>
    </row>
    <row r="62" spans="1:48" s="359" customFormat="1" ht="20.100000000000001" customHeight="1">
      <c r="B62" s="378"/>
      <c r="C62" s="378"/>
      <c r="D62" s="378"/>
      <c r="E62" s="378"/>
      <c r="F62" s="378"/>
      <c r="G62" s="378"/>
      <c r="H62" s="378"/>
      <c r="I62" s="378"/>
      <c r="J62" s="378"/>
      <c r="K62" s="378"/>
      <c r="L62" s="378"/>
      <c r="M62" s="378"/>
      <c r="N62" s="378"/>
      <c r="O62" s="378"/>
      <c r="P62" s="378"/>
      <c r="Q62" s="378"/>
      <c r="R62" s="378"/>
      <c r="S62" s="378"/>
      <c r="T62" s="378"/>
      <c r="U62" s="378"/>
      <c r="V62" s="378"/>
      <c r="W62" s="378"/>
      <c r="X62" s="378"/>
    </row>
    <row r="63" spans="1:48" s="359" customFormat="1" ht="20.100000000000001" customHeight="1">
      <c r="B63" s="378"/>
      <c r="C63" s="378"/>
      <c r="D63" s="378"/>
      <c r="E63" s="378"/>
      <c r="F63" s="378"/>
      <c r="G63" s="378"/>
      <c r="H63" s="378"/>
      <c r="I63" s="378"/>
      <c r="J63" s="378"/>
      <c r="K63" s="378"/>
      <c r="L63" s="378"/>
      <c r="M63" s="378"/>
      <c r="N63" s="378"/>
      <c r="O63" s="378"/>
      <c r="P63" s="378"/>
      <c r="Q63" s="378"/>
      <c r="R63" s="378"/>
      <c r="S63" s="378"/>
      <c r="T63" s="378"/>
      <c r="U63" s="378"/>
      <c r="V63" s="378"/>
      <c r="W63" s="378"/>
      <c r="X63" s="378"/>
    </row>
    <row r="64" spans="1:48" s="359" customFormat="1" ht="20.100000000000001" customHeight="1">
      <c r="B64" s="378"/>
      <c r="C64" s="378"/>
      <c r="D64" s="378"/>
      <c r="E64" s="378"/>
      <c r="F64" s="378"/>
      <c r="G64" s="378"/>
      <c r="H64" s="378"/>
      <c r="I64" s="378"/>
      <c r="J64" s="378"/>
      <c r="K64" s="378"/>
      <c r="L64" s="378"/>
      <c r="M64" s="378"/>
      <c r="N64" s="378"/>
      <c r="O64" s="378"/>
      <c r="P64" s="378"/>
      <c r="Q64" s="378"/>
      <c r="R64" s="378"/>
      <c r="S64" s="378"/>
      <c r="T64" s="378"/>
      <c r="U64" s="378"/>
      <c r="V64" s="378"/>
      <c r="W64" s="378"/>
      <c r="X64" s="378"/>
    </row>
    <row r="65" spans="2:24" s="359" customFormat="1" ht="20.100000000000001" customHeight="1">
      <c r="B65" s="378"/>
      <c r="C65" s="378"/>
      <c r="D65" s="378"/>
      <c r="E65" s="378"/>
      <c r="F65" s="378"/>
      <c r="G65" s="378"/>
      <c r="H65" s="378"/>
      <c r="I65" s="378"/>
      <c r="J65" s="378"/>
      <c r="K65" s="378"/>
      <c r="L65" s="378"/>
      <c r="M65" s="378"/>
      <c r="N65" s="378"/>
      <c r="O65" s="378"/>
      <c r="P65" s="378"/>
      <c r="Q65" s="378"/>
      <c r="R65" s="378"/>
      <c r="S65" s="378"/>
      <c r="T65" s="378"/>
      <c r="U65" s="378"/>
      <c r="V65" s="378"/>
      <c r="W65" s="378"/>
      <c r="X65" s="378"/>
    </row>
    <row r="66" spans="2:24" s="359" customFormat="1" ht="20.100000000000001" customHeight="1">
      <c r="B66" s="378"/>
      <c r="C66" s="378"/>
      <c r="D66" s="378"/>
      <c r="E66" s="378"/>
      <c r="F66" s="378"/>
      <c r="G66" s="378"/>
      <c r="H66" s="378"/>
      <c r="I66" s="378"/>
      <c r="J66" s="378"/>
      <c r="K66" s="378"/>
      <c r="L66" s="378"/>
      <c r="M66" s="378"/>
      <c r="N66" s="378"/>
      <c r="O66" s="378"/>
      <c r="P66" s="378"/>
      <c r="Q66" s="378"/>
      <c r="R66" s="378"/>
      <c r="S66" s="378"/>
      <c r="T66" s="378"/>
      <c r="U66" s="378"/>
      <c r="V66" s="378"/>
      <c r="W66" s="378"/>
      <c r="X66" s="378"/>
    </row>
    <row r="67" spans="2:24" s="359" customFormat="1" ht="20.100000000000001" customHeight="1">
      <c r="B67" s="378"/>
      <c r="C67" s="378"/>
      <c r="D67" s="378"/>
      <c r="E67" s="378"/>
      <c r="F67" s="378"/>
      <c r="G67" s="378"/>
      <c r="H67" s="378"/>
      <c r="I67" s="378"/>
      <c r="J67" s="378"/>
      <c r="K67" s="378"/>
      <c r="L67" s="378"/>
      <c r="M67" s="378"/>
      <c r="N67" s="378"/>
      <c r="O67" s="378"/>
      <c r="P67" s="378"/>
      <c r="Q67" s="378"/>
      <c r="R67" s="378"/>
      <c r="S67" s="378"/>
      <c r="T67" s="378"/>
      <c r="U67" s="378"/>
      <c r="V67" s="378"/>
      <c r="W67" s="378"/>
      <c r="X67" s="378"/>
    </row>
    <row r="68" spans="2:24" s="359" customFormat="1" ht="20.100000000000001" customHeight="1">
      <c r="B68" s="378"/>
      <c r="C68" s="378"/>
      <c r="D68" s="378"/>
      <c r="E68" s="378"/>
      <c r="F68" s="378"/>
      <c r="G68" s="378"/>
      <c r="H68" s="378"/>
      <c r="I68" s="378"/>
      <c r="J68" s="378"/>
      <c r="K68" s="378"/>
      <c r="L68" s="378"/>
      <c r="M68" s="378"/>
      <c r="N68" s="378"/>
      <c r="O68" s="378"/>
      <c r="P68" s="378"/>
      <c r="Q68" s="378"/>
      <c r="R68" s="378"/>
      <c r="S68" s="378"/>
      <c r="T68" s="378"/>
      <c r="U68" s="378"/>
      <c r="V68" s="378"/>
      <c r="W68" s="378"/>
      <c r="X68" s="378"/>
    </row>
    <row r="69" spans="2:24" s="359" customFormat="1" ht="20.100000000000001" customHeight="1">
      <c r="B69" s="378"/>
      <c r="C69" s="378"/>
      <c r="D69" s="378"/>
      <c r="E69" s="378"/>
      <c r="F69" s="378"/>
      <c r="G69" s="378"/>
      <c r="H69" s="378"/>
      <c r="I69" s="378"/>
      <c r="J69" s="378"/>
      <c r="K69" s="378"/>
      <c r="L69" s="378"/>
      <c r="M69" s="378"/>
      <c r="N69" s="378"/>
      <c r="O69" s="378"/>
      <c r="P69" s="378"/>
      <c r="Q69" s="378"/>
      <c r="R69" s="378"/>
      <c r="S69" s="378"/>
      <c r="T69" s="378"/>
      <c r="U69" s="378"/>
      <c r="V69" s="378"/>
      <c r="W69" s="378"/>
      <c r="X69" s="378"/>
    </row>
    <row r="70" spans="2:24" s="359" customFormat="1" ht="20.100000000000001" customHeight="1">
      <c r="B70" s="378"/>
      <c r="C70" s="378"/>
      <c r="D70" s="378"/>
      <c r="E70" s="378"/>
      <c r="F70" s="378"/>
      <c r="G70" s="378"/>
      <c r="H70" s="378"/>
      <c r="I70" s="378"/>
      <c r="J70" s="378"/>
      <c r="K70" s="378"/>
      <c r="L70" s="378"/>
      <c r="M70" s="378"/>
      <c r="N70" s="378"/>
      <c r="O70" s="378"/>
      <c r="P70" s="378"/>
      <c r="Q70" s="378"/>
      <c r="R70" s="378"/>
      <c r="S70" s="378"/>
      <c r="T70" s="378"/>
      <c r="U70" s="378"/>
      <c r="V70" s="378"/>
      <c r="W70" s="378"/>
      <c r="X70" s="378"/>
    </row>
    <row r="71" spans="2:24" s="359" customFormat="1" ht="20.100000000000001" customHeight="1">
      <c r="B71" s="378"/>
      <c r="C71" s="378"/>
      <c r="D71" s="378"/>
      <c r="E71" s="378"/>
      <c r="F71" s="378"/>
      <c r="G71" s="378"/>
      <c r="H71" s="378"/>
      <c r="I71" s="378"/>
      <c r="J71" s="378"/>
      <c r="K71" s="378"/>
      <c r="L71" s="378"/>
      <c r="M71" s="378"/>
      <c r="N71" s="378"/>
      <c r="O71" s="378"/>
      <c r="P71" s="378"/>
      <c r="Q71" s="378"/>
      <c r="R71" s="378"/>
      <c r="S71" s="378"/>
      <c r="T71" s="378"/>
      <c r="U71" s="378"/>
      <c r="V71" s="378"/>
      <c r="W71" s="378"/>
      <c r="X71" s="378"/>
    </row>
    <row r="72" spans="2:24" s="359" customFormat="1" ht="20.100000000000001" customHeight="1">
      <c r="B72" s="378"/>
      <c r="C72" s="378"/>
      <c r="D72" s="378"/>
      <c r="E72" s="378"/>
      <c r="F72" s="378"/>
      <c r="G72" s="378"/>
      <c r="H72" s="378"/>
      <c r="I72" s="378"/>
      <c r="J72" s="378"/>
      <c r="K72" s="378"/>
      <c r="L72" s="378"/>
      <c r="M72" s="378"/>
      <c r="N72" s="378"/>
      <c r="O72" s="378"/>
      <c r="P72" s="378"/>
      <c r="Q72" s="378"/>
      <c r="R72" s="378"/>
      <c r="S72" s="378"/>
      <c r="T72" s="378"/>
      <c r="U72" s="378"/>
      <c r="V72" s="378"/>
      <c r="W72" s="378"/>
      <c r="X72" s="378"/>
    </row>
    <row r="73" spans="2:24" s="359" customFormat="1" ht="20.100000000000001" customHeight="1">
      <c r="B73" s="378"/>
      <c r="C73" s="378"/>
      <c r="D73" s="378"/>
      <c r="E73" s="378"/>
      <c r="F73" s="378"/>
      <c r="G73" s="378"/>
      <c r="H73" s="378"/>
      <c r="I73" s="378"/>
      <c r="J73" s="378"/>
      <c r="K73" s="378"/>
      <c r="L73" s="378"/>
      <c r="M73" s="378"/>
      <c r="N73" s="378"/>
      <c r="O73" s="378"/>
      <c r="P73" s="378"/>
      <c r="Q73" s="378"/>
      <c r="R73" s="378"/>
      <c r="S73" s="378"/>
      <c r="T73" s="378"/>
      <c r="U73" s="378"/>
      <c r="V73" s="378"/>
      <c r="W73" s="378"/>
      <c r="X73" s="378"/>
    </row>
    <row r="74" spans="2:24" s="359" customFormat="1" ht="20.100000000000001" customHeight="1">
      <c r="B74" s="378"/>
      <c r="C74" s="378"/>
      <c r="D74" s="378"/>
      <c r="E74" s="378"/>
      <c r="F74" s="378"/>
      <c r="G74" s="378"/>
      <c r="H74" s="378"/>
      <c r="I74" s="378"/>
      <c r="J74" s="378"/>
      <c r="K74" s="378"/>
      <c r="L74" s="378"/>
      <c r="M74" s="378"/>
      <c r="N74" s="378"/>
      <c r="O74" s="378"/>
      <c r="P74" s="378"/>
      <c r="Q74" s="378"/>
      <c r="R74" s="378"/>
      <c r="S74" s="378"/>
      <c r="T74" s="378"/>
      <c r="U74" s="378"/>
      <c r="V74" s="378"/>
      <c r="W74" s="378"/>
      <c r="X74" s="378"/>
    </row>
    <row r="75" spans="2:24" s="359" customFormat="1" ht="20.100000000000001" customHeight="1">
      <c r="B75" s="378"/>
      <c r="C75" s="378"/>
      <c r="D75" s="378"/>
      <c r="E75" s="378"/>
      <c r="F75" s="378"/>
      <c r="G75" s="378"/>
      <c r="H75" s="378"/>
      <c r="I75" s="378"/>
      <c r="J75" s="378"/>
      <c r="K75" s="378"/>
      <c r="L75" s="378"/>
      <c r="M75" s="378"/>
      <c r="N75" s="378"/>
      <c r="O75" s="378"/>
      <c r="P75" s="378"/>
      <c r="Q75" s="378"/>
      <c r="R75" s="378"/>
      <c r="S75" s="378"/>
      <c r="T75" s="378"/>
      <c r="U75" s="378"/>
      <c r="V75" s="378"/>
      <c r="W75" s="378"/>
      <c r="X75" s="378"/>
    </row>
    <row r="76" spans="2:24" s="359" customFormat="1" ht="20.100000000000001" customHeight="1">
      <c r="B76" s="378"/>
      <c r="C76" s="378"/>
      <c r="D76" s="378"/>
      <c r="E76" s="378"/>
      <c r="F76" s="378"/>
      <c r="G76" s="378"/>
      <c r="H76" s="378"/>
      <c r="I76" s="378"/>
      <c r="J76" s="378"/>
      <c r="K76" s="378"/>
      <c r="L76" s="378"/>
      <c r="M76" s="378"/>
      <c r="N76" s="378"/>
      <c r="O76" s="378"/>
      <c r="P76" s="378"/>
      <c r="Q76" s="378"/>
      <c r="R76" s="378"/>
      <c r="S76" s="378"/>
      <c r="T76" s="378"/>
      <c r="U76" s="378"/>
      <c r="V76" s="378"/>
      <c r="W76" s="378"/>
      <c r="X76" s="378"/>
    </row>
    <row r="77" spans="2:24" s="359" customFormat="1" ht="20.100000000000001" customHeight="1">
      <c r="B77" s="378"/>
      <c r="C77" s="378"/>
      <c r="D77" s="378"/>
      <c r="E77" s="378"/>
      <c r="F77" s="378"/>
      <c r="G77" s="378"/>
      <c r="H77" s="378"/>
      <c r="I77" s="378"/>
      <c r="J77" s="378"/>
      <c r="K77" s="378"/>
      <c r="L77" s="378"/>
      <c r="M77" s="378"/>
      <c r="N77" s="378"/>
      <c r="O77" s="378"/>
      <c r="P77" s="378"/>
      <c r="Q77" s="378"/>
      <c r="R77" s="378"/>
      <c r="S77" s="378"/>
      <c r="T77" s="378"/>
      <c r="U77" s="378"/>
      <c r="V77" s="378"/>
      <c r="W77" s="378"/>
      <c r="X77" s="378"/>
    </row>
    <row r="78" spans="2:24" s="359" customFormat="1" ht="20.100000000000001" customHeight="1">
      <c r="B78" s="378"/>
      <c r="C78" s="378"/>
      <c r="D78" s="378"/>
      <c r="E78" s="378"/>
      <c r="F78" s="378"/>
      <c r="G78" s="378"/>
      <c r="H78" s="378"/>
      <c r="I78" s="378"/>
      <c r="J78" s="378"/>
      <c r="K78" s="378"/>
      <c r="L78" s="378"/>
      <c r="M78" s="378"/>
      <c r="N78" s="378"/>
      <c r="O78" s="378"/>
      <c r="P78" s="378"/>
      <c r="Q78" s="378"/>
      <c r="R78" s="378"/>
      <c r="S78" s="378"/>
      <c r="T78" s="378"/>
      <c r="U78" s="378"/>
      <c r="V78" s="378"/>
      <c r="W78" s="378"/>
      <c r="X78" s="378"/>
    </row>
    <row r="79" spans="2:24" s="359" customFormat="1" ht="19.899999999999999" customHeight="1">
      <c r="B79" s="378"/>
      <c r="C79" s="378"/>
      <c r="D79" s="378"/>
      <c r="E79" s="378"/>
      <c r="F79" s="378"/>
      <c r="G79" s="378"/>
      <c r="H79" s="378"/>
      <c r="I79" s="378"/>
      <c r="J79" s="378"/>
      <c r="K79" s="378"/>
      <c r="L79" s="378"/>
      <c r="M79" s="378"/>
      <c r="N79" s="378"/>
      <c r="O79" s="378"/>
      <c r="P79" s="378"/>
      <c r="Q79" s="378"/>
      <c r="R79" s="378"/>
      <c r="S79" s="378"/>
      <c r="T79" s="378"/>
      <c r="U79" s="378"/>
      <c r="V79" s="378"/>
      <c r="W79" s="378"/>
      <c r="X79" s="378"/>
    </row>
    <row r="80" spans="2:24" s="359" customFormat="1" ht="20.100000000000001" customHeight="1">
      <c r="B80" s="378"/>
      <c r="C80" s="378"/>
      <c r="D80" s="378"/>
      <c r="E80" s="378"/>
      <c r="F80" s="378"/>
      <c r="G80" s="378"/>
      <c r="H80" s="378"/>
      <c r="I80" s="378"/>
      <c r="J80" s="378"/>
      <c r="K80" s="378"/>
      <c r="L80" s="378"/>
      <c r="M80" s="378"/>
      <c r="N80" s="378"/>
      <c r="O80" s="378"/>
      <c r="P80" s="378"/>
      <c r="Q80" s="378"/>
      <c r="R80" s="378"/>
      <c r="S80" s="378"/>
      <c r="T80" s="378"/>
      <c r="U80" s="378"/>
      <c r="V80" s="378"/>
      <c r="W80" s="378"/>
      <c r="X80" s="378"/>
    </row>
    <row r="81" spans="2:24" s="359" customFormat="1" ht="20.100000000000001" customHeight="1">
      <c r="B81" s="378"/>
      <c r="C81" s="378"/>
      <c r="D81" s="378"/>
      <c r="E81" s="378"/>
      <c r="F81" s="378"/>
      <c r="G81" s="378"/>
      <c r="H81" s="378"/>
      <c r="I81" s="378"/>
      <c r="J81" s="378"/>
      <c r="K81" s="378"/>
      <c r="L81" s="378"/>
      <c r="M81" s="378"/>
      <c r="N81" s="378"/>
      <c r="O81" s="378"/>
      <c r="P81" s="378"/>
      <c r="Q81" s="378"/>
      <c r="R81" s="378"/>
      <c r="S81" s="378"/>
      <c r="T81" s="378"/>
      <c r="U81" s="378"/>
      <c r="V81" s="378"/>
      <c r="W81" s="378"/>
      <c r="X81" s="378"/>
    </row>
    <row r="82" spans="2:24" s="359" customFormat="1" ht="20.100000000000001" customHeight="1">
      <c r="B82" s="378"/>
      <c r="C82" s="378"/>
      <c r="D82" s="378"/>
      <c r="E82" s="378"/>
      <c r="F82" s="378"/>
      <c r="G82" s="378"/>
      <c r="H82" s="378"/>
      <c r="I82" s="378"/>
      <c r="J82" s="378"/>
      <c r="K82" s="378"/>
      <c r="L82" s="378"/>
      <c r="M82" s="378"/>
      <c r="N82" s="378"/>
      <c r="O82" s="378"/>
      <c r="P82" s="378"/>
      <c r="Q82" s="378"/>
      <c r="R82" s="378"/>
      <c r="S82" s="378"/>
      <c r="T82" s="378"/>
      <c r="U82" s="378"/>
      <c r="V82" s="378"/>
      <c r="W82" s="378"/>
      <c r="X82" s="378"/>
    </row>
    <row r="83" spans="2:24" s="359" customFormat="1" ht="20.100000000000001" customHeight="1">
      <c r="B83" s="378"/>
      <c r="C83" s="378"/>
      <c r="D83" s="378"/>
      <c r="E83" s="378"/>
      <c r="F83" s="378"/>
      <c r="G83" s="378"/>
      <c r="H83" s="378"/>
      <c r="I83" s="378"/>
      <c r="J83" s="378"/>
      <c r="K83" s="378"/>
      <c r="L83" s="378"/>
      <c r="M83" s="378"/>
      <c r="N83" s="378"/>
      <c r="O83" s="378"/>
      <c r="P83" s="378"/>
      <c r="Q83" s="378"/>
      <c r="R83" s="378"/>
      <c r="S83" s="378"/>
      <c r="T83" s="378"/>
      <c r="U83" s="378"/>
      <c r="V83" s="378"/>
      <c r="W83" s="378"/>
      <c r="X83" s="378"/>
    </row>
    <row r="84" spans="2:24" s="359" customFormat="1" ht="20.100000000000001" customHeight="1">
      <c r="B84" s="378"/>
      <c r="C84" s="378"/>
      <c r="D84" s="378"/>
      <c r="E84" s="378"/>
      <c r="F84" s="378"/>
      <c r="G84" s="378"/>
      <c r="H84" s="378"/>
      <c r="I84" s="378"/>
      <c r="J84" s="378"/>
      <c r="K84" s="378"/>
      <c r="L84" s="378"/>
      <c r="M84" s="378"/>
      <c r="N84" s="378"/>
      <c r="O84" s="378"/>
      <c r="P84" s="378"/>
      <c r="Q84" s="378"/>
      <c r="R84" s="378"/>
      <c r="S84" s="378"/>
      <c r="T84" s="378"/>
      <c r="U84" s="378"/>
      <c r="V84" s="378"/>
      <c r="W84" s="378"/>
      <c r="X84" s="378"/>
    </row>
    <row r="85" spans="2:24" s="359" customFormat="1" ht="20.100000000000001" customHeight="1">
      <c r="B85" s="378"/>
      <c r="C85" s="378"/>
      <c r="D85" s="378"/>
      <c r="E85" s="378"/>
      <c r="F85" s="378"/>
      <c r="G85" s="378"/>
      <c r="H85" s="378"/>
      <c r="I85" s="378"/>
      <c r="J85" s="378"/>
      <c r="K85" s="378"/>
      <c r="L85" s="378"/>
      <c r="M85" s="378"/>
      <c r="N85" s="378"/>
      <c r="O85" s="378"/>
      <c r="P85" s="378"/>
      <c r="Q85" s="378"/>
      <c r="R85" s="378"/>
      <c r="S85" s="378"/>
      <c r="T85" s="378"/>
      <c r="U85" s="378"/>
      <c r="V85" s="378"/>
      <c r="W85" s="378"/>
      <c r="X85" s="378"/>
    </row>
    <row r="86" spans="2:24" s="359" customFormat="1" ht="20.100000000000001" customHeight="1">
      <c r="B86" s="378"/>
      <c r="C86" s="378"/>
      <c r="D86" s="378"/>
      <c r="E86" s="378"/>
      <c r="F86" s="378"/>
      <c r="G86" s="378"/>
      <c r="H86" s="378"/>
      <c r="I86" s="378"/>
      <c r="J86" s="378"/>
      <c r="K86" s="378"/>
      <c r="L86" s="378"/>
      <c r="M86" s="378"/>
      <c r="N86" s="378"/>
      <c r="O86" s="378"/>
      <c r="P86" s="378"/>
      <c r="Q86" s="378"/>
      <c r="R86" s="378"/>
      <c r="S86" s="378"/>
      <c r="T86" s="378"/>
      <c r="U86" s="378"/>
      <c r="V86" s="378"/>
      <c r="W86" s="378"/>
      <c r="X86" s="378"/>
    </row>
    <row r="87" spans="2:24" s="359" customFormat="1" ht="20.100000000000001" customHeight="1">
      <c r="B87" s="378"/>
      <c r="C87" s="378"/>
      <c r="D87" s="378"/>
      <c r="E87" s="378"/>
      <c r="F87" s="378"/>
      <c r="G87" s="378"/>
      <c r="H87" s="378"/>
      <c r="I87" s="378"/>
      <c r="J87" s="378"/>
      <c r="K87" s="378"/>
      <c r="L87" s="378"/>
      <c r="M87" s="378"/>
      <c r="N87" s="378"/>
      <c r="O87" s="378"/>
      <c r="P87" s="378"/>
      <c r="Q87" s="378"/>
      <c r="R87" s="378"/>
      <c r="S87" s="378"/>
      <c r="T87" s="378"/>
      <c r="U87" s="378"/>
      <c r="V87" s="378"/>
      <c r="W87" s="378"/>
      <c r="X87" s="378"/>
    </row>
    <row r="88" spans="2:24" s="359" customFormat="1" ht="20.100000000000001" customHeight="1">
      <c r="B88" s="378"/>
      <c r="C88" s="378"/>
      <c r="D88" s="378"/>
      <c r="E88" s="378"/>
      <c r="F88" s="378"/>
      <c r="G88" s="378"/>
      <c r="H88" s="378"/>
      <c r="I88" s="378"/>
      <c r="J88" s="378"/>
      <c r="K88" s="378"/>
      <c r="L88" s="378"/>
      <c r="M88" s="378"/>
      <c r="N88" s="378"/>
      <c r="O88" s="378"/>
      <c r="P88" s="378"/>
      <c r="Q88" s="378"/>
      <c r="R88" s="378"/>
      <c r="S88" s="378"/>
      <c r="T88" s="378"/>
      <c r="U88" s="378"/>
      <c r="V88" s="378"/>
      <c r="W88" s="378"/>
      <c r="X88" s="378"/>
    </row>
    <row r="89" spans="2:24" s="359" customFormat="1" ht="20.100000000000001" customHeight="1">
      <c r="B89" s="378"/>
      <c r="C89" s="378"/>
      <c r="D89" s="378"/>
      <c r="E89" s="378"/>
      <c r="F89" s="378"/>
      <c r="G89" s="378"/>
      <c r="H89" s="378"/>
      <c r="I89" s="378"/>
      <c r="J89" s="378"/>
      <c r="K89" s="378"/>
      <c r="L89" s="378"/>
      <c r="M89" s="378"/>
      <c r="N89" s="378"/>
      <c r="O89" s="378"/>
      <c r="P89" s="378"/>
      <c r="Q89" s="378"/>
      <c r="R89" s="378"/>
      <c r="S89" s="378"/>
      <c r="T89" s="378"/>
      <c r="U89" s="378"/>
      <c r="V89" s="378"/>
      <c r="W89" s="378"/>
      <c r="X89" s="378"/>
    </row>
    <row r="90" spans="2:24" s="359" customFormat="1" ht="20.100000000000001" customHeight="1">
      <c r="B90" s="378"/>
      <c r="C90" s="378"/>
      <c r="D90" s="378"/>
      <c r="E90" s="378"/>
      <c r="F90" s="378"/>
      <c r="G90" s="378"/>
      <c r="H90" s="378"/>
      <c r="I90" s="378"/>
      <c r="J90" s="378"/>
      <c r="K90" s="378"/>
      <c r="L90" s="378"/>
      <c r="M90" s="378"/>
      <c r="N90" s="378"/>
      <c r="O90" s="378"/>
      <c r="P90" s="378"/>
      <c r="Q90" s="378"/>
      <c r="R90" s="378"/>
      <c r="S90" s="378"/>
      <c r="T90" s="378"/>
      <c r="U90" s="378"/>
      <c r="V90" s="378"/>
      <c r="W90" s="378"/>
      <c r="X90" s="378"/>
    </row>
    <row r="91" spans="2:24" ht="20.100000000000001" customHeight="1"/>
    <row r="92" spans="2:24" ht="10.15" customHeight="1"/>
    <row r="93" spans="2:24" ht="20.100000000000001" customHeight="1"/>
    <row r="94" spans="2:24" ht="20.100000000000001" customHeight="1"/>
    <row r="95" spans="2:24" ht="20.100000000000001" customHeight="1"/>
    <row r="96" spans="2:24" s="359" customFormat="1" ht="20.100000000000001" customHeight="1">
      <c r="B96" s="378"/>
      <c r="C96" s="378"/>
      <c r="D96" s="378"/>
      <c r="E96" s="378"/>
      <c r="F96" s="378"/>
      <c r="G96" s="378"/>
      <c r="H96" s="378"/>
      <c r="I96" s="378"/>
      <c r="J96" s="378"/>
      <c r="K96" s="378"/>
      <c r="L96" s="378"/>
      <c r="M96" s="378"/>
      <c r="N96" s="378"/>
      <c r="O96" s="378"/>
      <c r="P96" s="378"/>
      <c r="Q96" s="378"/>
      <c r="R96" s="378"/>
      <c r="S96" s="378"/>
      <c r="T96" s="378"/>
      <c r="U96" s="378"/>
      <c r="V96" s="378"/>
      <c r="W96" s="378"/>
      <c r="X96" s="378"/>
    </row>
    <row r="97" spans="2:24" s="359" customFormat="1" ht="20.100000000000001" customHeight="1">
      <c r="B97" s="378"/>
      <c r="C97" s="378"/>
      <c r="D97" s="378"/>
      <c r="E97" s="378"/>
      <c r="F97" s="378"/>
      <c r="G97" s="378"/>
      <c r="H97" s="378"/>
      <c r="I97" s="378"/>
      <c r="J97" s="378"/>
      <c r="K97" s="378"/>
      <c r="L97" s="378"/>
      <c r="M97" s="378"/>
      <c r="N97" s="378"/>
      <c r="O97" s="378"/>
      <c r="P97" s="378"/>
      <c r="Q97" s="378"/>
      <c r="R97" s="378"/>
      <c r="S97" s="378"/>
      <c r="T97" s="378"/>
      <c r="U97" s="378"/>
      <c r="V97" s="378"/>
      <c r="W97" s="378"/>
      <c r="X97" s="378"/>
    </row>
    <row r="98" spans="2:24" s="359" customFormat="1" ht="20.100000000000001" customHeight="1">
      <c r="B98" s="378"/>
      <c r="C98" s="378"/>
      <c r="D98" s="378"/>
      <c r="E98" s="378"/>
      <c r="F98" s="378"/>
      <c r="G98" s="378"/>
      <c r="H98" s="378"/>
      <c r="I98" s="378"/>
      <c r="J98" s="378"/>
      <c r="K98" s="378"/>
      <c r="L98" s="378"/>
      <c r="M98" s="378"/>
      <c r="N98" s="378"/>
      <c r="O98" s="378"/>
      <c r="P98" s="378"/>
      <c r="Q98" s="378"/>
      <c r="R98" s="378"/>
      <c r="S98" s="378"/>
      <c r="T98" s="378"/>
      <c r="U98" s="378"/>
      <c r="V98" s="378"/>
      <c r="W98" s="378"/>
      <c r="X98" s="378"/>
    </row>
    <row r="99" spans="2:24" s="359" customFormat="1" ht="20.100000000000001" customHeight="1">
      <c r="B99" s="378"/>
      <c r="C99" s="378"/>
      <c r="D99" s="378"/>
      <c r="E99" s="378"/>
      <c r="F99" s="378"/>
      <c r="G99" s="378"/>
      <c r="H99" s="378"/>
      <c r="I99" s="378"/>
      <c r="J99" s="378"/>
      <c r="K99" s="378"/>
      <c r="L99" s="378"/>
      <c r="M99" s="378"/>
      <c r="N99" s="378"/>
      <c r="O99" s="378"/>
      <c r="P99" s="378"/>
      <c r="Q99" s="378"/>
      <c r="R99" s="378"/>
      <c r="S99" s="378"/>
      <c r="T99" s="378"/>
      <c r="U99" s="378"/>
      <c r="V99" s="378"/>
      <c r="W99" s="378"/>
      <c r="X99" s="378"/>
    </row>
    <row r="100" spans="2:24" s="359" customFormat="1" ht="20.100000000000001" customHeight="1">
      <c r="B100" s="378"/>
      <c r="C100" s="378"/>
      <c r="D100" s="378"/>
      <c r="E100" s="378"/>
      <c r="F100" s="378"/>
      <c r="G100" s="378"/>
      <c r="H100" s="378"/>
      <c r="I100" s="378"/>
      <c r="J100" s="378"/>
      <c r="K100" s="378"/>
      <c r="L100" s="378"/>
      <c r="M100" s="378"/>
      <c r="N100" s="378"/>
      <c r="O100" s="378"/>
      <c r="P100" s="378"/>
      <c r="Q100" s="378"/>
      <c r="R100" s="378"/>
      <c r="S100" s="378"/>
      <c r="T100" s="378"/>
      <c r="U100" s="378"/>
      <c r="V100" s="378"/>
      <c r="W100" s="378"/>
      <c r="X100" s="378"/>
    </row>
    <row r="101" spans="2:24" s="359" customFormat="1" ht="20.100000000000001" customHeight="1">
      <c r="B101" s="378"/>
      <c r="C101" s="378"/>
      <c r="D101" s="378"/>
      <c r="E101" s="378"/>
      <c r="F101" s="378"/>
      <c r="G101" s="378"/>
      <c r="H101" s="378"/>
      <c r="I101" s="378"/>
      <c r="J101" s="378"/>
      <c r="K101" s="378"/>
      <c r="L101" s="378"/>
      <c r="M101" s="378"/>
      <c r="N101" s="378"/>
      <c r="O101" s="378"/>
      <c r="P101" s="378"/>
      <c r="Q101" s="378"/>
      <c r="R101" s="378"/>
      <c r="S101" s="378"/>
      <c r="T101" s="378"/>
      <c r="U101" s="378"/>
      <c r="V101" s="378"/>
      <c r="W101" s="378"/>
      <c r="X101" s="378"/>
    </row>
    <row r="102" spans="2:24" s="359" customFormat="1" ht="20.100000000000001" customHeight="1">
      <c r="B102" s="378"/>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row>
    <row r="103" spans="2:24" s="359" customFormat="1" ht="20.100000000000001" customHeight="1">
      <c r="B103" s="378"/>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row>
    <row r="104" spans="2:24" s="359" customFormat="1" ht="20.100000000000001" customHeight="1">
      <c r="B104" s="378"/>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row>
    <row r="105" spans="2:24" s="359" customFormat="1" ht="20.100000000000001" customHeight="1">
      <c r="B105" s="378"/>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row>
    <row r="106" spans="2:24" s="359" customFormat="1" ht="20.100000000000001" customHeight="1">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row>
    <row r="107" spans="2:24" s="359" customFormat="1" ht="20.100000000000001" customHeight="1">
      <c r="B107" s="378"/>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row>
    <row r="108" spans="2:24" s="359" customFormat="1" ht="20.100000000000001" customHeight="1">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row>
    <row r="109" spans="2:24" s="359" customFormat="1" ht="20.100000000000001" customHeight="1">
      <c r="B109" s="378"/>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row>
    <row r="110" spans="2:24" s="359" customFormat="1" ht="20.100000000000001" customHeight="1">
      <c r="B110" s="378"/>
      <c r="C110" s="378"/>
      <c r="D110" s="378"/>
      <c r="E110" s="378"/>
      <c r="F110" s="378"/>
      <c r="G110" s="378"/>
      <c r="H110" s="378"/>
      <c r="I110" s="378"/>
      <c r="J110" s="378"/>
      <c r="K110" s="378"/>
      <c r="L110" s="378"/>
      <c r="M110" s="378"/>
      <c r="N110" s="378"/>
      <c r="O110" s="378"/>
      <c r="P110" s="378"/>
      <c r="Q110" s="378"/>
      <c r="R110" s="378"/>
      <c r="S110" s="378"/>
      <c r="T110" s="378"/>
      <c r="U110" s="378"/>
      <c r="V110" s="378"/>
      <c r="W110" s="378"/>
      <c r="X110" s="378"/>
    </row>
    <row r="111" spans="2:24" s="359" customFormat="1" ht="20.100000000000001" customHeight="1">
      <c r="B111" s="378"/>
      <c r="C111" s="378"/>
      <c r="D111" s="378"/>
      <c r="E111" s="378"/>
      <c r="F111" s="378"/>
      <c r="G111" s="378"/>
      <c r="H111" s="378"/>
      <c r="I111" s="378"/>
      <c r="J111" s="378"/>
      <c r="K111" s="378"/>
      <c r="L111" s="378"/>
      <c r="M111" s="378"/>
      <c r="N111" s="378"/>
      <c r="O111" s="378"/>
      <c r="P111" s="378"/>
      <c r="Q111" s="378"/>
      <c r="R111" s="378"/>
      <c r="S111" s="378"/>
      <c r="T111" s="378"/>
      <c r="U111" s="378"/>
      <c r="V111" s="378"/>
      <c r="W111" s="378"/>
      <c r="X111" s="378"/>
    </row>
    <row r="112" spans="2:24" s="359" customFormat="1" ht="20.100000000000001" customHeight="1">
      <c r="B112" s="378"/>
      <c r="C112" s="378"/>
      <c r="D112" s="378"/>
      <c r="E112" s="378"/>
      <c r="F112" s="378"/>
      <c r="G112" s="378"/>
      <c r="H112" s="378"/>
      <c r="I112" s="378"/>
      <c r="J112" s="378"/>
      <c r="K112" s="378"/>
      <c r="L112" s="378"/>
      <c r="M112" s="378"/>
      <c r="N112" s="378"/>
      <c r="O112" s="378"/>
      <c r="P112" s="378"/>
      <c r="Q112" s="378"/>
      <c r="R112" s="378"/>
      <c r="S112" s="378"/>
      <c r="T112" s="378"/>
      <c r="U112" s="378"/>
      <c r="V112" s="378"/>
      <c r="W112" s="378"/>
      <c r="X112" s="378"/>
    </row>
    <row r="113" spans="2:24" s="359" customFormat="1" ht="20.100000000000001" customHeight="1">
      <c r="B113" s="378"/>
      <c r="C113" s="378"/>
      <c r="D113" s="378"/>
      <c r="E113" s="378"/>
      <c r="F113" s="378"/>
      <c r="G113" s="378"/>
      <c r="H113" s="378"/>
      <c r="I113" s="378"/>
      <c r="J113" s="378"/>
      <c r="K113" s="378"/>
      <c r="L113" s="378"/>
      <c r="M113" s="378"/>
      <c r="N113" s="378"/>
      <c r="O113" s="378"/>
      <c r="P113" s="378"/>
      <c r="Q113" s="378"/>
      <c r="R113" s="378"/>
      <c r="S113" s="378"/>
      <c r="T113" s="378"/>
      <c r="U113" s="378"/>
      <c r="V113" s="378"/>
      <c r="W113" s="378"/>
      <c r="X113" s="378"/>
    </row>
    <row r="114" spans="2:24" s="359" customFormat="1" ht="20.100000000000001" customHeight="1">
      <c r="B114" s="378"/>
      <c r="C114" s="378"/>
      <c r="D114" s="378"/>
      <c r="E114" s="378"/>
      <c r="F114" s="378"/>
      <c r="G114" s="378"/>
      <c r="H114" s="378"/>
      <c r="I114" s="378"/>
      <c r="J114" s="378"/>
      <c r="K114" s="378"/>
      <c r="L114" s="378"/>
      <c r="M114" s="378"/>
      <c r="N114" s="378"/>
      <c r="O114" s="378"/>
      <c r="P114" s="378"/>
      <c r="Q114" s="378"/>
      <c r="R114" s="378"/>
      <c r="S114" s="378"/>
      <c r="T114" s="378"/>
      <c r="U114" s="378"/>
      <c r="V114" s="378"/>
      <c r="W114" s="378"/>
      <c r="X114" s="378"/>
    </row>
    <row r="115" spans="2:24" s="359" customFormat="1" ht="20.100000000000001" customHeight="1">
      <c r="B115" s="378"/>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row>
    <row r="116" spans="2:24" s="359" customFormat="1" ht="20.100000000000001" customHeight="1">
      <c r="B116" s="378"/>
      <c r="C116" s="378"/>
      <c r="D116" s="378"/>
      <c r="E116" s="378"/>
      <c r="F116" s="378"/>
      <c r="G116" s="378"/>
      <c r="H116" s="378"/>
      <c r="I116" s="378"/>
      <c r="J116" s="378"/>
      <c r="K116" s="378"/>
      <c r="L116" s="378"/>
      <c r="M116" s="378"/>
      <c r="N116" s="378"/>
      <c r="O116" s="378"/>
      <c r="P116" s="378"/>
      <c r="Q116" s="378"/>
      <c r="R116" s="378"/>
      <c r="S116" s="378"/>
      <c r="T116" s="378"/>
      <c r="U116" s="378"/>
      <c r="V116" s="378"/>
      <c r="W116" s="378"/>
      <c r="X116" s="378"/>
    </row>
    <row r="117" spans="2:24" s="359" customFormat="1" ht="20.100000000000001" customHeight="1">
      <c r="B117" s="378"/>
      <c r="C117" s="378"/>
      <c r="D117" s="378"/>
      <c r="E117" s="378"/>
      <c r="F117" s="378"/>
      <c r="G117" s="378"/>
      <c r="H117" s="378"/>
      <c r="I117" s="378"/>
      <c r="J117" s="378"/>
      <c r="K117" s="378"/>
      <c r="L117" s="378"/>
      <c r="M117" s="378"/>
      <c r="N117" s="378"/>
      <c r="O117" s="378"/>
      <c r="P117" s="378"/>
      <c r="Q117" s="378"/>
      <c r="R117" s="378"/>
      <c r="S117" s="378"/>
      <c r="T117" s="378"/>
      <c r="U117" s="378"/>
      <c r="V117" s="378"/>
      <c r="W117" s="378"/>
      <c r="X117" s="378"/>
    </row>
    <row r="118" spans="2:24" s="359" customFormat="1" ht="20.100000000000001" customHeight="1">
      <c r="B118" s="378"/>
      <c r="C118" s="378"/>
      <c r="D118" s="378"/>
      <c r="E118" s="378"/>
      <c r="F118" s="378"/>
      <c r="G118" s="378"/>
      <c r="H118" s="378"/>
      <c r="I118" s="378"/>
      <c r="J118" s="378"/>
      <c r="K118" s="378"/>
      <c r="L118" s="378"/>
      <c r="M118" s="378"/>
      <c r="N118" s="378"/>
      <c r="O118" s="378"/>
      <c r="P118" s="378"/>
      <c r="Q118" s="378"/>
      <c r="R118" s="378"/>
      <c r="S118" s="378"/>
      <c r="T118" s="378"/>
      <c r="U118" s="378"/>
      <c r="V118" s="378"/>
      <c r="W118" s="378"/>
      <c r="X118" s="378"/>
    </row>
    <row r="119" spans="2:24" s="359" customFormat="1" ht="20.100000000000001" customHeight="1">
      <c r="B119" s="378"/>
      <c r="C119" s="378"/>
      <c r="D119" s="378"/>
      <c r="E119" s="378"/>
      <c r="F119" s="378"/>
      <c r="G119" s="378"/>
      <c r="H119" s="378"/>
      <c r="I119" s="378"/>
      <c r="J119" s="378"/>
      <c r="K119" s="378"/>
      <c r="L119" s="378"/>
      <c r="M119" s="378"/>
      <c r="N119" s="378"/>
      <c r="O119" s="378"/>
      <c r="P119" s="378"/>
      <c r="Q119" s="378"/>
      <c r="R119" s="378"/>
      <c r="S119" s="378"/>
      <c r="T119" s="378"/>
      <c r="U119" s="378"/>
      <c r="V119" s="378"/>
      <c r="W119" s="378"/>
      <c r="X119" s="378"/>
    </row>
    <row r="120" spans="2:24" s="359" customFormat="1" ht="20.100000000000001" customHeight="1">
      <c r="B120" s="378"/>
      <c r="C120" s="378"/>
      <c r="D120" s="378"/>
      <c r="E120" s="378"/>
      <c r="F120" s="378"/>
      <c r="G120" s="378"/>
      <c r="H120" s="378"/>
      <c r="I120" s="378"/>
      <c r="J120" s="378"/>
      <c r="K120" s="378"/>
      <c r="L120" s="378"/>
      <c r="M120" s="378"/>
      <c r="N120" s="378"/>
      <c r="O120" s="378"/>
      <c r="P120" s="378"/>
      <c r="Q120" s="378"/>
      <c r="R120" s="378"/>
      <c r="S120" s="378"/>
      <c r="T120" s="378"/>
      <c r="U120" s="378"/>
      <c r="V120" s="378"/>
      <c r="W120" s="378"/>
      <c r="X120" s="378"/>
    </row>
    <row r="121" spans="2:24" s="359" customFormat="1" ht="20.100000000000001" customHeight="1">
      <c r="B121" s="378"/>
      <c r="C121" s="378"/>
      <c r="D121" s="378"/>
      <c r="E121" s="378"/>
      <c r="F121" s="378"/>
      <c r="G121" s="378"/>
      <c r="H121" s="378"/>
      <c r="I121" s="378"/>
      <c r="J121" s="378"/>
      <c r="K121" s="378"/>
      <c r="L121" s="378"/>
      <c r="M121" s="378"/>
      <c r="N121" s="378"/>
      <c r="O121" s="378"/>
      <c r="P121" s="378"/>
      <c r="Q121" s="378"/>
      <c r="R121" s="378"/>
      <c r="S121" s="378"/>
      <c r="T121" s="378"/>
      <c r="U121" s="378"/>
      <c r="V121" s="378"/>
      <c r="W121" s="378"/>
      <c r="X121" s="378"/>
    </row>
    <row r="122" spans="2:24" s="359" customFormat="1" ht="20.100000000000001" customHeight="1">
      <c r="B122" s="378"/>
      <c r="C122" s="378"/>
      <c r="D122" s="378"/>
      <c r="E122" s="378"/>
      <c r="F122" s="378"/>
      <c r="G122" s="378"/>
      <c r="H122" s="378"/>
      <c r="I122" s="378"/>
      <c r="J122" s="378"/>
      <c r="K122" s="378"/>
      <c r="L122" s="378"/>
      <c r="M122" s="378"/>
      <c r="N122" s="378"/>
      <c r="O122" s="378"/>
      <c r="P122" s="378"/>
      <c r="Q122" s="378"/>
      <c r="R122" s="378"/>
      <c r="S122" s="378"/>
      <c r="T122" s="378"/>
      <c r="U122" s="378"/>
      <c r="V122" s="378"/>
      <c r="W122" s="378"/>
      <c r="X122" s="378"/>
    </row>
    <row r="123" spans="2:24" s="359" customFormat="1" ht="20.100000000000001" customHeight="1">
      <c r="B123" s="378"/>
      <c r="C123" s="378"/>
      <c r="D123" s="378"/>
      <c r="E123" s="378"/>
      <c r="F123" s="378"/>
      <c r="G123" s="378"/>
      <c r="H123" s="378"/>
      <c r="I123" s="378"/>
      <c r="J123" s="378"/>
      <c r="K123" s="378"/>
      <c r="L123" s="378"/>
      <c r="M123" s="378"/>
      <c r="N123" s="378"/>
      <c r="O123" s="378"/>
      <c r="P123" s="378"/>
      <c r="Q123" s="378"/>
      <c r="R123" s="378"/>
      <c r="S123" s="378"/>
      <c r="T123" s="378"/>
      <c r="U123" s="378"/>
      <c r="V123" s="378"/>
      <c r="W123" s="378"/>
      <c r="X123" s="378"/>
    </row>
    <row r="124" spans="2:24" s="359" customFormat="1" ht="20.100000000000001" customHeight="1">
      <c r="B124" s="378"/>
      <c r="C124" s="378"/>
      <c r="D124" s="378"/>
      <c r="E124" s="378"/>
      <c r="F124" s="378"/>
      <c r="G124" s="378"/>
      <c r="H124" s="378"/>
      <c r="I124" s="378"/>
      <c r="J124" s="378"/>
      <c r="K124" s="378"/>
      <c r="L124" s="378"/>
      <c r="M124" s="378"/>
      <c r="N124" s="378"/>
      <c r="O124" s="378"/>
      <c r="P124" s="378"/>
      <c r="Q124" s="378"/>
      <c r="R124" s="378"/>
      <c r="S124" s="378"/>
      <c r="T124" s="378"/>
      <c r="U124" s="378"/>
      <c r="V124" s="378"/>
      <c r="W124" s="378"/>
      <c r="X124" s="378"/>
    </row>
    <row r="125" spans="2:24" s="359" customFormat="1" ht="20.100000000000001" customHeight="1">
      <c r="B125" s="378"/>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row>
    <row r="126" spans="2:24" s="359" customFormat="1" ht="20.100000000000001" customHeight="1">
      <c r="B126" s="378"/>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row>
    <row r="127" spans="2:24" s="359" customFormat="1" ht="20.100000000000001" customHeight="1">
      <c r="B127" s="378"/>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row>
    <row r="128" spans="2:24" s="359" customFormat="1" ht="20.100000000000001" customHeight="1">
      <c r="B128" s="378"/>
      <c r="C128" s="378"/>
      <c r="D128" s="378"/>
      <c r="E128" s="378"/>
      <c r="F128" s="378"/>
      <c r="G128" s="378"/>
      <c r="H128" s="378"/>
      <c r="I128" s="378"/>
      <c r="J128" s="378"/>
      <c r="K128" s="378"/>
      <c r="L128" s="378"/>
      <c r="M128" s="378"/>
      <c r="N128" s="378"/>
      <c r="O128" s="378"/>
      <c r="P128" s="378"/>
      <c r="Q128" s="378"/>
      <c r="R128" s="378"/>
      <c r="S128" s="378"/>
      <c r="T128" s="378"/>
      <c r="U128" s="378"/>
      <c r="V128" s="378"/>
      <c r="W128" s="378"/>
      <c r="X128" s="378"/>
    </row>
    <row r="129" spans="2:24" s="359" customFormat="1" ht="20.100000000000001" customHeight="1">
      <c r="B129" s="378"/>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row>
    <row r="130" spans="2:24" s="359" customFormat="1" ht="20.100000000000001" customHeight="1">
      <c r="B130" s="378"/>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row>
    <row r="131" spans="2:24" s="359" customFormat="1" ht="20.100000000000001" customHeight="1">
      <c r="B131" s="378"/>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row>
    <row r="132" spans="2:24" s="359" customFormat="1" ht="20.100000000000001" customHeight="1">
      <c r="B132" s="378"/>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row>
    <row r="133" spans="2:24" ht="20.100000000000001" customHeight="1"/>
    <row r="134" spans="2:24" ht="10.15" customHeight="1"/>
    <row r="135" spans="2:24" ht="20.100000000000001" customHeight="1"/>
    <row r="136" spans="2:24" ht="20.100000000000001" customHeight="1"/>
    <row r="137" spans="2:24" ht="20.100000000000001" customHeight="1"/>
    <row r="138" spans="2:24" ht="20.100000000000001" customHeight="1"/>
    <row r="139" spans="2:24" s="359" customFormat="1" ht="20.100000000000001" customHeight="1">
      <c r="B139" s="378"/>
      <c r="C139" s="378"/>
      <c r="D139" s="378"/>
      <c r="E139" s="378"/>
      <c r="F139" s="378"/>
      <c r="G139" s="378"/>
      <c r="H139" s="378"/>
      <c r="I139" s="378"/>
      <c r="J139" s="378"/>
      <c r="K139" s="378"/>
      <c r="L139" s="378"/>
      <c r="M139" s="378"/>
      <c r="N139" s="378"/>
      <c r="O139" s="378"/>
      <c r="P139" s="378"/>
      <c r="Q139" s="378"/>
      <c r="R139" s="378"/>
      <c r="S139" s="378"/>
      <c r="T139" s="378"/>
      <c r="U139" s="378"/>
      <c r="V139" s="378"/>
      <c r="W139" s="378"/>
      <c r="X139" s="378"/>
    </row>
    <row r="140" spans="2:24" s="359" customFormat="1" ht="20.100000000000001" customHeight="1">
      <c r="B140" s="378"/>
      <c r="C140" s="378"/>
      <c r="D140" s="378"/>
      <c r="E140" s="378"/>
      <c r="F140" s="378"/>
      <c r="G140" s="378"/>
      <c r="H140" s="378"/>
      <c r="I140" s="378"/>
      <c r="J140" s="378"/>
      <c r="K140" s="378"/>
      <c r="L140" s="378"/>
      <c r="M140" s="378"/>
      <c r="N140" s="378"/>
      <c r="O140" s="378"/>
      <c r="P140" s="378"/>
      <c r="Q140" s="378"/>
      <c r="R140" s="378"/>
      <c r="S140" s="378"/>
      <c r="T140" s="378"/>
      <c r="U140" s="378"/>
      <c r="V140" s="378"/>
      <c r="W140" s="378"/>
      <c r="X140" s="378"/>
    </row>
    <row r="141" spans="2:24" s="359" customFormat="1" ht="20.100000000000001" customHeight="1">
      <c r="B141" s="378"/>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row>
    <row r="142" spans="2:24" s="359" customFormat="1" ht="20.100000000000001" customHeight="1">
      <c r="B142" s="378"/>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row>
    <row r="143" spans="2:24" s="359" customFormat="1" ht="20.100000000000001" customHeight="1">
      <c r="B143" s="378"/>
      <c r="C143" s="378"/>
      <c r="D143" s="378"/>
      <c r="E143" s="378"/>
      <c r="F143" s="378"/>
      <c r="G143" s="378"/>
      <c r="H143" s="378"/>
      <c r="I143" s="378"/>
      <c r="J143" s="378"/>
      <c r="K143" s="378"/>
      <c r="L143" s="378"/>
      <c r="M143" s="378"/>
      <c r="N143" s="378"/>
      <c r="O143" s="378"/>
      <c r="P143" s="378"/>
      <c r="Q143" s="378"/>
      <c r="R143" s="378"/>
      <c r="S143" s="378"/>
      <c r="T143" s="378"/>
      <c r="U143" s="378"/>
      <c r="V143" s="378"/>
      <c r="W143" s="378"/>
      <c r="X143" s="378"/>
    </row>
    <row r="144" spans="2:24" s="359" customFormat="1" ht="20.100000000000001" customHeight="1">
      <c r="B144" s="378"/>
      <c r="C144" s="378"/>
      <c r="D144" s="378"/>
      <c r="E144" s="378"/>
      <c r="F144" s="378"/>
      <c r="G144" s="378"/>
      <c r="H144" s="378"/>
      <c r="I144" s="378"/>
      <c r="J144" s="378"/>
      <c r="K144" s="378"/>
      <c r="L144" s="378"/>
      <c r="M144" s="378"/>
      <c r="N144" s="378"/>
      <c r="O144" s="378"/>
      <c r="P144" s="378"/>
      <c r="Q144" s="378"/>
      <c r="R144" s="378"/>
      <c r="S144" s="378"/>
      <c r="T144" s="378"/>
      <c r="U144" s="378"/>
      <c r="V144" s="378"/>
      <c r="W144" s="378"/>
      <c r="X144" s="378"/>
    </row>
    <row r="145" spans="2:24" s="359" customFormat="1" ht="20.100000000000001" customHeight="1">
      <c r="B145" s="378"/>
      <c r="C145" s="378"/>
      <c r="D145" s="378"/>
      <c r="E145" s="378"/>
      <c r="F145" s="378"/>
      <c r="G145" s="378"/>
      <c r="H145" s="378"/>
      <c r="I145" s="378"/>
      <c r="J145" s="378"/>
      <c r="K145" s="378"/>
      <c r="L145" s="378"/>
      <c r="M145" s="378"/>
      <c r="N145" s="378"/>
      <c r="O145" s="378"/>
      <c r="P145" s="378"/>
      <c r="Q145" s="378"/>
      <c r="R145" s="378"/>
      <c r="S145" s="378"/>
      <c r="T145" s="378"/>
      <c r="U145" s="378"/>
      <c r="V145" s="378"/>
      <c r="W145" s="378"/>
      <c r="X145" s="378"/>
    </row>
    <row r="146" spans="2:24" s="359" customFormat="1" ht="20.100000000000001" customHeight="1">
      <c r="B146" s="378"/>
      <c r="C146" s="378"/>
      <c r="D146" s="378"/>
      <c r="E146" s="378"/>
      <c r="F146" s="378"/>
      <c r="G146" s="378"/>
      <c r="H146" s="378"/>
      <c r="I146" s="378"/>
      <c r="J146" s="378"/>
      <c r="K146" s="378"/>
      <c r="L146" s="378"/>
      <c r="M146" s="378"/>
      <c r="N146" s="378"/>
      <c r="O146" s="378"/>
      <c r="P146" s="378"/>
      <c r="Q146" s="378"/>
      <c r="R146" s="378"/>
      <c r="S146" s="378"/>
      <c r="T146" s="378"/>
      <c r="U146" s="378"/>
      <c r="V146" s="378"/>
      <c r="W146" s="378"/>
      <c r="X146" s="378"/>
    </row>
    <row r="147" spans="2:24" s="359" customFormat="1" ht="20.100000000000001" customHeight="1">
      <c r="B147" s="378"/>
      <c r="C147" s="378"/>
      <c r="D147" s="378"/>
      <c r="E147" s="378"/>
      <c r="F147" s="378"/>
      <c r="G147" s="378"/>
      <c r="H147" s="378"/>
      <c r="I147" s="378"/>
      <c r="J147" s="378"/>
      <c r="K147" s="378"/>
      <c r="L147" s="378"/>
      <c r="M147" s="378"/>
      <c r="N147" s="378"/>
      <c r="O147" s="378"/>
      <c r="P147" s="378"/>
      <c r="Q147" s="378"/>
      <c r="R147" s="378"/>
      <c r="S147" s="378"/>
      <c r="T147" s="378"/>
      <c r="U147" s="378"/>
      <c r="V147" s="378"/>
      <c r="W147" s="378"/>
      <c r="X147" s="378"/>
    </row>
    <row r="148" spans="2:24" s="359" customFormat="1" ht="20.100000000000001" customHeight="1">
      <c r="B148" s="378"/>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row>
    <row r="149" spans="2:24" s="359" customFormat="1" ht="20.100000000000001" customHeight="1">
      <c r="B149" s="378"/>
      <c r="C149" s="378"/>
      <c r="D149" s="378"/>
      <c r="E149" s="378"/>
      <c r="F149" s="378"/>
      <c r="G149" s="378"/>
      <c r="H149" s="378"/>
      <c r="I149" s="378"/>
      <c r="J149" s="378"/>
      <c r="K149" s="378"/>
      <c r="L149" s="378"/>
      <c r="M149" s="378"/>
      <c r="N149" s="378"/>
      <c r="O149" s="378"/>
      <c r="P149" s="378"/>
      <c r="Q149" s="378"/>
      <c r="R149" s="378"/>
      <c r="S149" s="378"/>
      <c r="T149" s="378"/>
      <c r="U149" s="378"/>
      <c r="V149" s="378"/>
      <c r="W149" s="378"/>
      <c r="X149" s="378"/>
    </row>
    <row r="150" spans="2:24" s="359" customFormat="1" ht="20.100000000000001" customHeight="1">
      <c r="B150" s="378"/>
      <c r="C150" s="378"/>
      <c r="D150" s="378"/>
      <c r="E150" s="378"/>
      <c r="F150" s="378"/>
      <c r="G150" s="378"/>
      <c r="H150" s="378"/>
      <c r="I150" s="378"/>
      <c r="J150" s="378"/>
      <c r="K150" s="378"/>
      <c r="L150" s="378"/>
      <c r="M150" s="378"/>
      <c r="N150" s="378"/>
      <c r="O150" s="378"/>
      <c r="P150" s="378"/>
      <c r="Q150" s="378"/>
      <c r="R150" s="378"/>
      <c r="S150" s="378"/>
      <c r="T150" s="378"/>
      <c r="U150" s="378"/>
      <c r="V150" s="378"/>
      <c r="W150" s="378"/>
      <c r="X150" s="378"/>
    </row>
    <row r="151" spans="2:24" s="359" customFormat="1" ht="20.100000000000001" customHeight="1">
      <c r="B151" s="378"/>
      <c r="C151" s="378"/>
      <c r="D151" s="378"/>
      <c r="E151" s="378"/>
      <c r="F151" s="378"/>
      <c r="G151" s="378"/>
      <c r="H151" s="378"/>
      <c r="I151" s="378"/>
      <c r="J151" s="378"/>
      <c r="K151" s="378"/>
      <c r="L151" s="378"/>
      <c r="M151" s="378"/>
      <c r="N151" s="378"/>
      <c r="O151" s="378"/>
      <c r="P151" s="378"/>
      <c r="Q151" s="378"/>
      <c r="R151" s="378"/>
      <c r="S151" s="378"/>
      <c r="T151" s="378"/>
      <c r="U151" s="378"/>
      <c r="V151" s="378"/>
      <c r="W151" s="378"/>
      <c r="X151" s="378"/>
    </row>
    <row r="152" spans="2:24" s="359" customFormat="1" ht="20.100000000000001" customHeight="1">
      <c r="B152" s="378"/>
      <c r="C152" s="378"/>
      <c r="D152" s="378"/>
      <c r="E152" s="378"/>
      <c r="F152" s="378"/>
      <c r="G152" s="378"/>
      <c r="H152" s="378"/>
      <c r="I152" s="378"/>
      <c r="J152" s="378"/>
      <c r="K152" s="378"/>
      <c r="L152" s="378"/>
      <c r="M152" s="378"/>
      <c r="N152" s="378"/>
      <c r="O152" s="378"/>
      <c r="P152" s="378"/>
      <c r="Q152" s="378"/>
      <c r="R152" s="378"/>
      <c r="S152" s="378"/>
      <c r="T152" s="378"/>
      <c r="U152" s="378"/>
      <c r="V152" s="378"/>
      <c r="W152" s="378"/>
      <c r="X152" s="378"/>
    </row>
    <row r="153" spans="2:24" s="359" customFormat="1" ht="20.100000000000001" customHeight="1">
      <c r="B153" s="378"/>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row>
    <row r="154" spans="2:24" s="359" customFormat="1" ht="20.100000000000001" customHeight="1">
      <c r="B154" s="378"/>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row>
    <row r="155" spans="2:24" s="359" customFormat="1" ht="19.899999999999999" customHeight="1">
      <c r="B155" s="378"/>
      <c r="C155" s="378"/>
      <c r="D155" s="378"/>
      <c r="E155" s="378"/>
      <c r="F155" s="378"/>
      <c r="G155" s="378"/>
      <c r="H155" s="378"/>
      <c r="I155" s="378"/>
      <c r="J155" s="378"/>
      <c r="K155" s="378"/>
      <c r="L155" s="378"/>
      <c r="M155" s="378"/>
      <c r="N155" s="378"/>
      <c r="O155" s="378"/>
      <c r="P155" s="378"/>
      <c r="Q155" s="378"/>
      <c r="R155" s="378"/>
      <c r="S155" s="378"/>
      <c r="T155" s="378"/>
      <c r="U155" s="378"/>
      <c r="V155" s="378"/>
      <c r="W155" s="378"/>
      <c r="X155" s="378"/>
    </row>
    <row r="156" spans="2:24" s="359" customFormat="1" ht="20.100000000000001" customHeight="1">
      <c r="B156" s="378"/>
      <c r="C156" s="378"/>
      <c r="D156" s="378"/>
      <c r="E156" s="378"/>
      <c r="F156" s="378"/>
      <c r="G156" s="378"/>
      <c r="H156" s="378"/>
      <c r="I156" s="378"/>
      <c r="J156" s="378"/>
      <c r="K156" s="378"/>
      <c r="L156" s="378"/>
      <c r="M156" s="378"/>
      <c r="N156" s="378"/>
      <c r="O156" s="378"/>
      <c r="P156" s="378"/>
      <c r="Q156" s="378"/>
      <c r="R156" s="378"/>
      <c r="S156" s="378"/>
      <c r="T156" s="378"/>
      <c r="U156" s="378"/>
      <c r="V156" s="378"/>
      <c r="W156" s="378"/>
      <c r="X156" s="378"/>
    </row>
    <row r="157" spans="2:24" s="359" customFormat="1" ht="20.100000000000001" customHeight="1">
      <c r="B157" s="378"/>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row>
    <row r="158" spans="2:24" s="359" customFormat="1" ht="20.100000000000001" customHeight="1">
      <c r="B158" s="378"/>
      <c r="C158" s="378"/>
      <c r="D158" s="378"/>
      <c r="E158" s="378"/>
      <c r="F158" s="378"/>
      <c r="G158" s="378"/>
      <c r="H158" s="378"/>
      <c r="I158" s="378"/>
      <c r="J158" s="378"/>
      <c r="K158" s="378"/>
      <c r="L158" s="378"/>
      <c r="M158" s="378"/>
      <c r="N158" s="378"/>
      <c r="O158" s="378"/>
      <c r="P158" s="378"/>
      <c r="Q158" s="378"/>
      <c r="R158" s="378"/>
      <c r="S158" s="378"/>
      <c r="T158" s="378"/>
      <c r="U158" s="378"/>
      <c r="V158" s="378"/>
      <c r="W158" s="378"/>
      <c r="X158" s="378"/>
    </row>
    <row r="159" spans="2:24" s="359" customFormat="1" ht="20.100000000000001" customHeight="1">
      <c r="B159" s="378"/>
      <c r="C159" s="378"/>
      <c r="D159" s="378"/>
      <c r="E159" s="378"/>
      <c r="F159" s="378"/>
      <c r="G159" s="378"/>
      <c r="H159" s="378"/>
      <c r="I159" s="378"/>
      <c r="J159" s="378"/>
      <c r="K159" s="378"/>
      <c r="L159" s="378"/>
      <c r="M159" s="378"/>
      <c r="N159" s="378"/>
      <c r="O159" s="378"/>
      <c r="P159" s="378"/>
      <c r="Q159" s="378"/>
      <c r="R159" s="378"/>
      <c r="S159" s="378"/>
      <c r="T159" s="378"/>
      <c r="U159" s="378"/>
      <c r="V159" s="378"/>
      <c r="W159" s="378"/>
      <c r="X159" s="378"/>
    </row>
    <row r="160" spans="2:24" s="359" customFormat="1" ht="20.100000000000001" customHeight="1">
      <c r="B160" s="378"/>
      <c r="C160" s="378"/>
      <c r="D160" s="378"/>
      <c r="E160" s="378"/>
      <c r="F160" s="378"/>
      <c r="G160" s="378"/>
      <c r="H160" s="378"/>
      <c r="I160" s="378"/>
      <c r="J160" s="378"/>
      <c r="K160" s="378"/>
      <c r="L160" s="378"/>
      <c r="M160" s="378"/>
      <c r="N160" s="378"/>
      <c r="O160" s="378"/>
      <c r="P160" s="378"/>
      <c r="Q160" s="378"/>
      <c r="R160" s="378"/>
      <c r="S160" s="378"/>
      <c r="T160" s="378"/>
      <c r="U160" s="378"/>
      <c r="V160" s="378"/>
      <c r="W160" s="378"/>
      <c r="X160" s="378"/>
    </row>
    <row r="161" spans="2:24" s="359" customFormat="1" ht="20.100000000000001" customHeight="1">
      <c r="B161" s="378"/>
      <c r="C161" s="378"/>
      <c r="D161" s="378"/>
      <c r="E161" s="378"/>
      <c r="F161" s="378"/>
      <c r="G161" s="378"/>
      <c r="H161" s="378"/>
      <c r="I161" s="378"/>
      <c r="J161" s="378"/>
      <c r="K161" s="378"/>
      <c r="L161" s="378"/>
      <c r="M161" s="378"/>
      <c r="N161" s="378"/>
      <c r="O161" s="378"/>
      <c r="P161" s="378"/>
      <c r="Q161" s="378"/>
      <c r="R161" s="378"/>
      <c r="S161" s="378"/>
      <c r="T161" s="378"/>
      <c r="U161" s="378"/>
      <c r="V161" s="378"/>
      <c r="W161" s="378"/>
      <c r="X161" s="378"/>
    </row>
    <row r="162" spans="2:24" s="359" customFormat="1" ht="20.100000000000001" customHeight="1">
      <c r="B162" s="378"/>
      <c r="C162" s="378"/>
      <c r="D162" s="378"/>
      <c r="E162" s="378"/>
      <c r="F162" s="378"/>
      <c r="G162" s="378"/>
      <c r="H162" s="378"/>
      <c r="I162" s="378"/>
      <c r="J162" s="378"/>
      <c r="K162" s="378"/>
      <c r="L162" s="378"/>
      <c r="M162" s="378"/>
      <c r="N162" s="378"/>
      <c r="O162" s="378"/>
      <c r="P162" s="378"/>
      <c r="Q162" s="378"/>
      <c r="R162" s="378"/>
      <c r="S162" s="378"/>
      <c r="T162" s="378"/>
      <c r="U162" s="378"/>
      <c r="V162" s="378"/>
      <c r="W162" s="378"/>
      <c r="X162" s="378"/>
    </row>
    <row r="163" spans="2:24" s="359" customFormat="1" ht="20.100000000000001" customHeight="1">
      <c r="B163" s="378"/>
      <c r="C163" s="378"/>
      <c r="D163" s="378"/>
      <c r="E163" s="378"/>
      <c r="F163" s="378"/>
      <c r="G163" s="1489">
        <f>'MC-PAV'!X56</f>
        <v>14039.27</v>
      </c>
      <c r="H163" s="378"/>
      <c r="I163" s="378"/>
      <c r="J163" s="378"/>
      <c r="K163" s="378">
        <f>G163*J163+0.03</f>
        <v>0.03</v>
      </c>
      <c r="L163" s="378"/>
      <c r="M163" s="378"/>
      <c r="N163" s="378"/>
      <c r="O163" s="378"/>
      <c r="P163" s="378"/>
      <c r="Q163" s="378"/>
      <c r="R163" s="378"/>
      <c r="S163" s="378"/>
      <c r="T163" s="378"/>
      <c r="U163" s="378"/>
      <c r="V163" s="378"/>
      <c r="W163" s="378"/>
      <c r="X163" s="378"/>
    </row>
    <row r="164" spans="2:24" s="359" customFormat="1" ht="20.100000000000001" customHeight="1">
      <c r="B164" s="378"/>
      <c r="C164" s="378"/>
      <c r="D164" s="378"/>
      <c r="E164" s="378"/>
      <c r="F164" s="378"/>
      <c r="G164" s="378"/>
      <c r="H164" s="378"/>
      <c r="I164" s="378"/>
      <c r="J164" s="378"/>
      <c r="K164" s="378"/>
      <c r="L164" s="378"/>
      <c r="M164" s="378"/>
      <c r="N164" s="378"/>
      <c r="O164" s="378"/>
      <c r="P164" s="378"/>
      <c r="Q164" s="378"/>
      <c r="R164" s="378"/>
      <c r="S164" s="378"/>
      <c r="T164" s="378"/>
      <c r="U164" s="378"/>
      <c r="V164" s="378"/>
      <c r="W164" s="378"/>
      <c r="X164" s="378"/>
    </row>
    <row r="165" spans="2:24" s="359" customFormat="1" ht="20.100000000000001" customHeight="1">
      <c r="B165" s="378"/>
      <c r="C165" s="378"/>
      <c r="D165" s="378"/>
      <c r="E165" s="378"/>
      <c r="F165" s="378"/>
      <c r="G165" s="378"/>
      <c r="H165" s="378"/>
      <c r="I165" s="378"/>
      <c r="J165" s="378"/>
      <c r="K165" s="378"/>
      <c r="L165" s="378"/>
      <c r="M165" s="378"/>
      <c r="N165" s="378"/>
      <c r="O165" s="378"/>
      <c r="P165" s="378"/>
      <c r="Q165" s="378"/>
      <c r="R165" s="378"/>
      <c r="S165" s="378"/>
      <c r="T165" s="378"/>
      <c r="U165" s="378"/>
      <c r="V165" s="378"/>
      <c r="W165" s="378"/>
      <c r="X165" s="378"/>
    </row>
    <row r="166" spans="2:24" s="359" customFormat="1" ht="20.100000000000001" customHeight="1">
      <c r="B166" s="378"/>
      <c r="C166" s="378"/>
      <c r="D166" s="378"/>
      <c r="E166" s="378"/>
      <c r="F166" s="378"/>
      <c r="G166" s="378"/>
      <c r="H166" s="378"/>
      <c r="I166" s="378"/>
      <c r="J166" s="378"/>
      <c r="K166" s="378"/>
      <c r="L166" s="378"/>
      <c r="M166" s="378"/>
      <c r="N166" s="378"/>
      <c r="O166" s="378"/>
      <c r="P166" s="378"/>
      <c r="Q166" s="378"/>
      <c r="R166" s="378"/>
      <c r="S166" s="378"/>
      <c r="T166" s="378"/>
      <c r="U166" s="378"/>
      <c r="V166" s="378"/>
      <c r="W166" s="378"/>
      <c r="X166" s="378"/>
    </row>
    <row r="167" spans="2:24" s="359" customFormat="1" ht="20.100000000000001" customHeight="1">
      <c r="B167" s="378"/>
      <c r="C167" s="378"/>
      <c r="D167" s="378"/>
      <c r="E167" s="378"/>
      <c r="F167" s="378"/>
      <c r="G167" s="378"/>
      <c r="H167" s="378"/>
      <c r="I167" s="378"/>
      <c r="J167" s="378"/>
      <c r="K167" s="378"/>
      <c r="L167" s="378"/>
      <c r="M167" s="378"/>
      <c r="N167" s="378"/>
      <c r="O167" s="378"/>
      <c r="P167" s="378"/>
      <c r="Q167" s="378"/>
      <c r="R167" s="378"/>
      <c r="S167" s="378"/>
      <c r="T167" s="378"/>
      <c r="U167" s="378"/>
      <c r="V167" s="378"/>
      <c r="W167" s="378"/>
      <c r="X167" s="378"/>
    </row>
    <row r="168" spans="2:24" s="359" customFormat="1" ht="20.100000000000001" customHeight="1">
      <c r="B168" s="378"/>
      <c r="C168" s="378"/>
      <c r="D168" s="378"/>
      <c r="E168" s="378"/>
      <c r="F168" s="378"/>
      <c r="G168" s="378"/>
      <c r="H168" s="378"/>
      <c r="I168" s="378"/>
      <c r="J168" s="378"/>
      <c r="K168" s="378"/>
      <c r="L168" s="378"/>
      <c r="M168" s="378"/>
      <c r="N168" s="378"/>
      <c r="O168" s="378"/>
      <c r="P168" s="378"/>
      <c r="Q168" s="378"/>
      <c r="R168" s="378"/>
      <c r="S168" s="378"/>
      <c r="T168" s="378"/>
      <c r="U168" s="378"/>
      <c r="V168" s="378"/>
      <c r="W168" s="378"/>
      <c r="X168" s="378"/>
    </row>
    <row r="169" spans="2:24" s="359" customFormat="1" ht="20.100000000000001" customHeight="1">
      <c r="B169" s="378"/>
      <c r="C169" s="378"/>
      <c r="D169" s="378"/>
      <c r="E169" s="378"/>
      <c r="F169" s="378"/>
      <c r="G169" s="378"/>
      <c r="H169" s="378"/>
      <c r="I169" s="378"/>
      <c r="J169" s="378"/>
      <c r="K169" s="378"/>
      <c r="L169" s="378"/>
      <c r="M169" s="378"/>
      <c r="N169" s="378"/>
      <c r="O169" s="378"/>
      <c r="P169" s="378"/>
      <c r="Q169" s="378"/>
      <c r="R169" s="378"/>
      <c r="S169" s="378"/>
      <c r="T169" s="378"/>
      <c r="U169" s="378"/>
      <c r="V169" s="378"/>
      <c r="W169" s="378"/>
      <c r="X169" s="378"/>
    </row>
    <row r="170" spans="2:24" s="359" customFormat="1" ht="20.100000000000001" customHeight="1">
      <c r="B170" s="378"/>
      <c r="C170" s="378"/>
      <c r="D170" s="378"/>
      <c r="E170" s="378"/>
      <c r="F170" s="378"/>
      <c r="G170" s="378"/>
      <c r="H170" s="378"/>
      <c r="I170" s="378"/>
      <c r="J170" s="378"/>
      <c r="K170" s="378"/>
      <c r="L170" s="378"/>
      <c r="M170" s="378"/>
      <c r="N170" s="378"/>
      <c r="O170" s="378"/>
      <c r="P170" s="378"/>
      <c r="Q170" s="378"/>
      <c r="R170" s="378"/>
      <c r="S170" s="378"/>
      <c r="T170" s="378"/>
      <c r="U170" s="378"/>
      <c r="V170" s="378"/>
      <c r="W170" s="378"/>
      <c r="X170" s="378"/>
    </row>
    <row r="171" spans="2:24" s="359" customFormat="1" ht="20.100000000000001" customHeight="1">
      <c r="B171" s="378"/>
      <c r="C171" s="378"/>
      <c r="D171" s="378"/>
      <c r="E171" s="378"/>
      <c r="F171" s="378"/>
      <c r="G171" s="378"/>
      <c r="H171" s="378"/>
      <c r="I171" s="378"/>
      <c r="J171" s="378"/>
      <c r="K171" s="378"/>
      <c r="L171" s="378"/>
      <c r="M171" s="378"/>
      <c r="N171" s="378"/>
      <c r="O171" s="378"/>
      <c r="P171" s="378"/>
      <c r="Q171" s="378"/>
      <c r="R171" s="378"/>
      <c r="S171" s="378"/>
      <c r="T171" s="378"/>
      <c r="U171" s="378"/>
      <c r="V171" s="378"/>
      <c r="W171" s="378"/>
      <c r="X171" s="378"/>
    </row>
    <row r="172" spans="2:24" s="359" customFormat="1" ht="20.100000000000001" customHeight="1">
      <c r="B172" s="378"/>
      <c r="C172" s="378"/>
      <c r="D172" s="378"/>
      <c r="E172" s="378"/>
      <c r="F172" s="378"/>
      <c r="G172" s="378"/>
      <c r="H172" s="378"/>
      <c r="I172" s="378"/>
      <c r="J172" s="378"/>
      <c r="K172" s="378"/>
      <c r="L172" s="378"/>
      <c r="M172" s="378"/>
      <c r="N172" s="378"/>
      <c r="O172" s="378"/>
      <c r="P172" s="378"/>
      <c r="Q172" s="378"/>
      <c r="R172" s="378"/>
      <c r="S172" s="378"/>
      <c r="T172" s="378"/>
      <c r="U172" s="378"/>
      <c r="V172" s="378"/>
      <c r="W172" s="378"/>
      <c r="X172" s="378"/>
    </row>
    <row r="173" spans="2:24" s="359" customFormat="1" ht="20.100000000000001" customHeight="1">
      <c r="B173" s="378"/>
      <c r="C173" s="378"/>
      <c r="D173" s="378"/>
      <c r="E173" s="378"/>
      <c r="F173" s="378"/>
      <c r="G173" s="378"/>
      <c r="H173" s="378"/>
      <c r="I173" s="378"/>
      <c r="J173" s="378"/>
      <c r="K173" s="378"/>
      <c r="L173" s="378"/>
      <c r="M173" s="378"/>
      <c r="N173" s="378"/>
      <c r="O173" s="378"/>
      <c r="P173" s="378"/>
      <c r="Q173" s="378"/>
      <c r="R173" s="378"/>
      <c r="S173" s="378"/>
      <c r="T173" s="378"/>
      <c r="U173" s="378"/>
      <c r="V173" s="378"/>
      <c r="W173" s="378"/>
      <c r="X173" s="378"/>
    </row>
    <row r="174" spans="2:24" s="359" customFormat="1" ht="20.100000000000001" customHeight="1">
      <c r="B174" s="378"/>
      <c r="C174" s="378"/>
      <c r="D174" s="378"/>
      <c r="E174" s="378"/>
      <c r="F174" s="378"/>
      <c r="G174" s="378"/>
      <c r="H174" s="378"/>
      <c r="I174" s="378"/>
      <c r="J174" s="378"/>
      <c r="K174" s="378"/>
      <c r="L174" s="378"/>
      <c r="M174" s="378"/>
      <c r="N174" s="378"/>
      <c r="O174" s="378"/>
      <c r="P174" s="378"/>
      <c r="Q174" s="378"/>
      <c r="R174" s="378"/>
      <c r="S174" s="378"/>
      <c r="T174" s="378"/>
      <c r="U174" s="378"/>
      <c r="V174" s="378"/>
      <c r="W174" s="378"/>
      <c r="X174" s="378"/>
    </row>
    <row r="175" spans="2:24" s="359" customFormat="1" ht="20.100000000000001" customHeight="1">
      <c r="B175" s="378"/>
      <c r="C175" s="378"/>
      <c r="D175" s="378"/>
      <c r="E175" s="378"/>
      <c r="F175" s="378"/>
      <c r="G175" s="378"/>
      <c r="H175" s="378"/>
      <c r="I175" s="378"/>
      <c r="J175" s="378"/>
      <c r="K175" s="378"/>
      <c r="L175" s="378"/>
      <c r="M175" s="378"/>
      <c r="N175" s="378"/>
      <c r="O175" s="378"/>
      <c r="P175" s="378"/>
      <c r="Q175" s="378"/>
      <c r="R175" s="378"/>
      <c r="S175" s="378"/>
      <c r="T175" s="378"/>
      <c r="U175" s="378"/>
      <c r="V175" s="378"/>
      <c r="W175" s="378"/>
      <c r="X175" s="378"/>
    </row>
    <row r="176" spans="2:24" ht="20.100000000000001" customHeight="1"/>
    <row r="177" spans="2:24" ht="10.15" customHeight="1"/>
    <row r="178" spans="2:24" ht="20.100000000000001" customHeight="1"/>
    <row r="179" spans="2:24" ht="20.100000000000001" customHeight="1"/>
    <row r="180" spans="2:24" ht="20.100000000000001" customHeight="1"/>
    <row r="181" spans="2:24" s="359" customFormat="1" ht="20.100000000000001" customHeight="1">
      <c r="B181" s="378"/>
      <c r="C181" s="378"/>
      <c r="D181" s="378"/>
      <c r="E181" s="378"/>
      <c r="F181" s="378"/>
      <c r="G181" s="378"/>
      <c r="H181" s="378"/>
      <c r="I181" s="378"/>
      <c r="J181" s="378"/>
      <c r="K181" s="378"/>
      <c r="L181" s="378"/>
      <c r="M181" s="378"/>
      <c r="N181" s="378"/>
      <c r="O181" s="378"/>
      <c r="P181" s="378"/>
      <c r="Q181" s="378"/>
      <c r="R181" s="378"/>
      <c r="S181" s="378"/>
      <c r="T181" s="378"/>
      <c r="U181" s="378"/>
      <c r="V181" s="378"/>
      <c r="W181" s="378"/>
      <c r="X181" s="378"/>
    </row>
    <row r="182" spans="2:24" s="359" customFormat="1" ht="20.100000000000001" customHeight="1">
      <c r="B182" s="378"/>
      <c r="C182" s="378"/>
      <c r="D182" s="378"/>
      <c r="E182" s="378"/>
      <c r="F182" s="378"/>
      <c r="G182" s="378"/>
      <c r="H182" s="378"/>
      <c r="I182" s="378"/>
      <c r="J182" s="378"/>
      <c r="K182" s="378"/>
      <c r="L182" s="378"/>
      <c r="M182" s="378"/>
      <c r="N182" s="378"/>
      <c r="O182" s="378"/>
      <c r="P182" s="378"/>
      <c r="Q182" s="378"/>
      <c r="R182" s="378"/>
      <c r="S182" s="378"/>
      <c r="T182" s="378"/>
      <c r="U182" s="378"/>
      <c r="V182" s="378"/>
      <c r="W182" s="378"/>
      <c r="X182" s="378"/>
    </row>
    <row r="183" spans="2:24" s="359" customFormat="1" ht="20.100000000000001" customHeight="1">
      <c r="B183" s="378"/>
      <c r="C183" s="378"/>
      <c r="D183" s="378"/>
      <c r="E183" s="378"/>
      <c r="F183" s="378"/>
      <c r="G183" s="378"/>
      <c r="H183" s="378"/>
      <c r="I183" s="378"/>
      <c r="J183" s="378"/>
      <c r="K183" s="378"/>
      <c r="L183" s="378"/>
      <c r="M183" s="378"/>
      <c r="N183" s="378"/>
      <c r="O183" s="378"/>
      <c r="P183" s="378"/>
      <c r="Q183" s="378"/>
      <c r="R183" s="378"/>
      <c r="S183" s="378"/>
      <c r="T183" s="378"/>
      <c r="U183" s="378"/>
      <c r="V183" s="378"/>
      <c r="W183" s="378"/>
      <c r="X183" s="378"/>
    </row>
    <row r="184" spans="2:24" s="359" customFormat="1" ht="20.100000000000001" customHeight="1">
      <c r="B184" s="378"/>
      <c r="C184" s="378"/>
      <c r="D184" s="378"/>
      <c r="E184" s="378"/>
      <c r="F184" s="378"/>
      <c r="G184" s="378"/>
      <c r="H184" s="378"/>
      <c r="I184" s="378"/>
      <c r="J184" s="378"/>
      <c r="K184" s="378"/>
      <c r="L184" s="378"/>
      <c r="M184" s="378"/>
      <c r="N184" s="378"/>
      <c r="O184" s="378"/>
      <c r="P184" s="378"/>
      <c r="Q184" s="378"/>
      <c r="R184" s="378"/>
      <c r="S184" s="378"/>
      <c r="T184" s="378"/>
      <c r="U184" s="378"/>
      <c r="V184" s="378"/>
      <c r="W184" s="378"/>
      <c r="X184" s="378"/>
    </row>
    <row r="185" spans="2:24" s="359" customFormat="1" ht="20.100000000000001" customHeight="1">
      <c r="B185" s="378"/>
      <c r="C185" s="378"/>
      <c r="D185" s="378"/>
      <c r="E185" s="378"/>
      <c r="F185" s="378"/>
      <c r="G185" s="378"/>
      <c r="H185" s="378"/>
      <c r="I185" s="378"/>
      <c r="J185" s="378"/>
      <c r="K185" s="378"/>
      <c r="L185" s="378"/>
      <c r="M185" s="378"/>
      <c r="N185" s="378"/>
      <c r="O185" s="378"/>
      <c r="P185" s="378"/>
      <c r="Q185" s="378"/>
      <c r="R185" s="378"/>
      <c r="S185" s="378"/>
      <c r="T185" s="378"/>
      <c r="U185" s="378"/>
      <c r="V185" s="378"/>
      <c r="W185" s="378"/>
      <c r="X185" s="378"/>
    </row>
    <row r="186" spans="2:24" s="359" customFormat="1" ht="20.100000000000001" customHeight="1">
      <c r="B186" s="378"/>
      <c r="C186" s="378"/>
      <c r="D186" s="378"/>
      <c r="E186" s="378"/>
      <c r="F186" s="378"/>
      <c r="G186" s="378"/>
      <c r="H186" s="378"/>
      <c r="I186" s="378"/>
      <c r="J186" s="378"/>
      <c r="K186" s="378"/>
      <c r="L186" s="378"/>
      <c r="M186" s="378"/>
      <c r="N186" s="378"/>
      <c r="O186" s="378"/>
      <c r="P186" s="378"/>
      <c r="Q186" s="378"/>
      <c r="R186" s="378"/>
      <c r="S186" s="378"/>
      <c r="T186" s="378"/>
      <c r="U186" s="378"/>
      <c r="V186" s="378"/>
      <c r="W186" s="378"/>
      <c r="X186" s="378"/>
    </row>
    <row r="187" spans="2:24" s="359" customFormat="1" ht="20.100000000000001" customHeight="1">
      <c r="B187" s="378"/>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8"/>
    </row>
    <row r="188" spans="2:24" s="359" customFormat="1" ht="20.100000000000001" customHeight="1">
      <c r="B188" s="378"/>
      <c r="C188" s="378"/>
      <c r="D188" s="378"/>
      <c r="E188" s="378"/>
      <c r="F188" s="378"/>
      <c r="G188" s="378"/>
      <c r="H188" s="378"/>
      <c r="I188" s="378"/>
      <c r="J188" s="378"/>
      <c r="K188" s="378"/>
      <c r="L188" s="378"/>
      <c r="M188" s="378"/>
      <c r="N188" s="378"/>
      <c r="O188" s="378"/>
      <c r="P188" s="378"/>
      <c r="Q188" s="378"/>
      <c r="R188" s="378"/>
      <c r="S188" s="378"/>
      <c r="T188" s="378"/>
      <c r="U188" s="378"/>
      <c r="V188" s="378"/>
      <c r="W188" s="378"/>
      <c r="X188" s="378"/>
    </row>
    <row r="189" spans="2:24" s="359" customFormat="1" ht="20.100000000000001" customHeight="1">
      <c r="B189" s="378"/>
      <c r="C189" s="378"/>
      <c r="D189" s="378"/>
      <c r="E189" s="378"/>
      <c r="F189" s="378"/>
      <c r="G189" s="378"/>
      <c r="H189" s="378"/>
      <c r="I189" s="378"/>
      <c r="J189" s="378"/>
      <c r="K189" s="378"/>
      <c r="L189" s="378"/>
      <c r="M189" s="378"/>
      <c r="N189" s="378"/>
      <c r="O189" s="378"/>
      <c r="P189" s="378"/>
      <c r="Q189" s="378"/>
      <c r="R189" s="378"/>
      <c r="S189" s="378"/>
      <c r="T189" s="378"/>
      <c r="U189" s="378"/>
      <c r="V189" s="378"/>
      <c r="W189" s="378"/>
      <c r="X189" s="378"/>
    </row>
    <row r="190" spans="2:24" s="359" customFormat="1" ht="20.100000000000001" customHeight="1">
      <c r="B190" s="378"/>
      <c r="C190" s="378"/>
      <c r="D190" s="378"/>
      <c r="E190" s="378"/>
      <c r="F190" s="378"/>
      <c r="G190" s="378"/>
      <c r="H190" s="378"/>
      <c r="I190" s="378"/>
      <c r="J190" s="378"/>
      <c r="K190" s="378"/>
      <c r="L190" s="378"/>
      <c r="M190" s="378"/>
      <c r="N190" s="378"/>
      <c r="O190" s="378"/>
      <c r="P190" s="378"/>
      <c r="Q190" s="378"/>
      <c r="R190" s="378"/>
      <c r="S190" s="378"/>
      <c r="T190" s="378"/>
      <c r="U190" s="378"/>
      <c r="V190" s="378"/>
      <c r="W190" s="378"/>
      <c r="X190" s="378"/>
    </row>
    <row r="191" spans="2:24" s="359" customFormat="1" ht="20.100000000000001" customHeight="1">
      <c r="B191" s="378"/>
      <c r="C191" s="378"/>
      <c r="D191" s="378"/>
      <c r="E191" s="378"/>
      <c r="F191" s="378"/>
      <c r="G191" s="378"/>
      <c r="H191" s="378"/>
      <c r="I191" s="378"/>
      <c r="J191" s="378"/>
      <c r="K191" s="378"/>
      <c r="L191" s="378"/>
      <c r="M191" s="378"/>
      <c r="N191" s="378"/>
      <c r="O191" s="378"/>
      <c r="P191" s="378"/>
      <c r="Q191" s="378"/>
      <c r="R191" s="378"/>
      <c r="S191" s="378"/>
      <c r="T191" s="378"/>
      <c r="U191" s="378"/>
      <c r="V191" s="378"/>
      <c r="W191" s="378"/>
      <c r="X191" s="378"/>
    </row>
    <row r="192" spans="2:24" s="359" customFormat="1" ht="20.100000000000001" customHeight="1">
      <c r="B192" s="378"/>
      <c r="C192" s="378"/>
      <c r="D192" s="378"/>
      <c r="E192" s="378"/>
      <c r="F192" s="378"/>
      <c r="G192" s="378"/>
      <c r="H192" s="378"/>
      <c r="I192" s="378"/>
      <c r="J192" s="378"/>
      <c r="K192" s="378"/>
      <c r="L192" s="378"/>
      <c r="M192" s="378"/>
      <c r="N192" s="378"/>
      <c r="O192" s="378"/>
      <c r="P192" s="378"/>
      <c r="Q192" s="378"/>
      <c r="R192" s="378"/>
      <c r="S192" s="378"/>
      <c r="T192" s="378"/>
      <c r="U192" s="378"/>
      <c r="V192" s="378"/>
      <c r="W192" s="378"/>
      <c r="X192" s="378"/>
    </row>
    <row r="193" spans="2:24" s="359" customFormat="1" ht="20.100000000000001" customHeight="1">
      <c r="B193" s="378"/>
      <c r="C193" s="378"/>
      <c r="D193" s="378"/>
      <c r="E193" s="378"/>
      <c r="F193" s="378"/>
      <c r="G193" s="378"/>
      <c r="H193" s="378"/>
      <c r="I193" s="378"/>
      <c r="J193" s="378"/>
      <c r="K193" s="378"/>
      <c r="L193" s="378"/>
      <c r="M193" s="378"/>
      <c r="N193" s="378"/>
      <c r="O193" s="378"/>
      <c r="P193" s="378"/>
      <c r="Q193" s="378"/>
      <c r="R193" s="378"/>
      <c r="S193" s="378"/>
      <c r="T193" s="378"/>
      <c r="U193" s="378"/>
      <c r="V193" s="378"/>
      <c r="W193" s="378"/>
      <c r="X193" s="378"/>
    </row>
    <row r="194" spans="2:24" s="359" customFormat="1" ht="20.100000000000001" customHeight="1">
      <c r="B194" s="378"/>
      <c r="C194" s="378"/>
      <c r="D194" s="378"/>
      <c r="E194" s="378"/>
      <c r="F194" s="378"/>
      <c r="G194" s="378"/>
      <c r="H194" s="378"/>
      <c r="I194" s="378"/>
      <c r="J194" s="378"/>
      <c r="K194" s="378"/>
      <c r="L194" s="378"/>
      <c r="M194" s="378"/>
      <c r="N194" s="378"/>
      <c r="O194" s="378"/>
      <c r="P194" s="378"/>
      <c r="Q194" s="378"/>
      <c r="R194" s="378"/>
      <c r="S194" s="378"/>
      <c r="T194" s="378"/>
      <c r="U194" s="378"/>
      <c r="V194" s="378"/>
      <c r="W194" s="378"/>
      <c r="X194" s="378"/>
    </row>
    <row r="195" spans="2:24" s="359" customFormat="1" ht="20.100000000000001" customHeight="1">
      <c r="B195" s="378"/>
      <c r="C195" s="378"/>
      <c r="D195" s="378"/>
      <c r="E195" s="378"/>
      <c r="F195" s="378"/>
      <c r="G195" s="378"/>
      <c r="H195" s="378"/>
      <c r="I195" s="378"/>
      <c r="J195" s="378"/>
      <c r="K195" s="378"/>
      <c r="L195" s="378"/>
      <c r="M195" s="378"/>
      <c r="N195" s="378"/>
      <c r="O195" s="378"/>
      <c r="P195" s="378"/>
      <c r="Q195" s="378"/>
      <c r="R195" s="378"/>
      <c r="S195" s="378"/>
      <c r="T195" s="378"/>
      <c r="U195" s="378"/>
      <c r="V195" s="378"/>
      <c r="W195" s="378"/>
      <c r="X195" s="378"/>
    </row>
    <row r="196" spans="2:24" s="359" customFormat="1" ht="20.100000000000001" customHeight="1">
      <c r="B196" s="378"/>
      <c r="C196" s="378"/>
      <c r="D196" s="378"/>
      <c r="E196" s="378"/>
      <c r="F196" s="378"/>
      <c r="G196" s="378"/>
      <c r="H196" s="378"/>
      <c r="I196" s="378"/>
      <c r="J196" s="378"/>
      <c r="K196" s="378"/>
      <c r="L196" s="378"/>
      <c r="M196" s="378"/>
      <c r="N196" s="378"/>
      <c r="O196" s="378"/>
      <c r="P196" s="378"/>
      <c r="Q196" s="378"/>
      <c r="R196" s="378"/>
      <c r="S196" s="378"/>
      <c r="T196" s="378"/>
      <c r="U196" s="378"/>
      <c r="V196" s="378"/>
      <c r="W196" s="378"/>
      <c r="X196" s="378"/>
    </row>
    <row r="197" spans="2:24" s="359" customFormat="1" ht="20.100000000000001" customHeight="1">
      <c r="B197" s="378"/>
      <c r="C197" s="378"/>
      <c r="D197" s="378"/>
      <c r="E197" s="378"/>
      <c r="F197" s="378"/>
      <c r="G197" s="378"/>
      <c r="H197" s="378"/>
      <c r="I197" s="378"/>
      <c r="J197" s="378"/>
      <c r="K197" s="378"/>
      <c r="L197" s="378"/>
      <c r="M197" s="378"/>
      <c r="N197" s="378"/>
      <c r="O197" s="378"/>
      <c r="P197" s="378"/>
      <c r="Q197" s="378"/>
      <c r="R197" s="378"/>
      <c r="S197" s="378"/>
      <c r="T197" s="378"/>
      <c r="U197" s="378"/>
      <c r="V197" s="378"/>
      <c r="W197" s="378"/>
      <c r="X197" s="378"/>
    </row>
    <row r="198" spans="2:24" s="359" customFormat="1" ht="20.100000000000001" customHeight="1">
      <c r="B198" s="378"/>
      <c r="C198" s="378"/>
      <c r="D198" s="378"/>
      <c r="E198" s="378"/>
      <c r="F198" s="378"/>
      <c r="G198" s="378"/>
      <c r="H198" s="378"/>
      <c r="I198" s="378"/>
      <c r="J198" s="378"/>
      <c r="K198" s="378"/>
      <c r="L198" s="378"/>
      <c r="M198" s="378"/>
      <c r="N198" s="378"/>
      <c r="O198" s="378"/>
      <c r="P198" s="378"/>
      <c r="Q198" s="378"/>
      <c r="R198" s="378"/>
      <c r="S198" s="378"/>
      <c r="T198" s="378"/>
      <c r="U198" s="378"/>
      <c r="V198" s="378"/>
      <c r="W198" s="378"/>
      <c r="X198" s="378"/>
    </row>
    <row r="199" spans="2:24" s="359" customFormat="1" ht="20.100000000000001" customHeight="1">
      <c r="B199" s="378"/>
      <c r="C199" s="378"/>
      <c r="D199" s="378"/>
      <c r="E199" s="378"/>
      <c r="F199" s="378"/>
      <c r="G199" s="378"/>
      <c r="H199" s="378"/>
      <c r="I199" s="378"/>
      <c r="J199" s="378"/>
      <c r="K199" s="378"/>
      <c r="L199" s="378"/>
      <c r="M199" s="378"/>
      <c r="N199" s="378"/>
      <c r="O199" s="378"/>
      <c r="P199" s="378"/>
      <c r="Q199" s="378"/>
      <c r="R199" s="378"/>
      <c r="S199" s="378"/>
      <c r="T199" s="378"/>
      <c r="U199" s="378"/>
      <c r="V199" s="378"/>
      <c r="W199" s="378"/>
      <c r="X199" s="378"/>
    </row>
    <row r="200" spans="2:24" s="359" customFormat="1" ht="20.100000000000001" customHeight="1">
      <c r="B200" s="378"/>
      <c r="C200" s="378"/>
      <c r="D200" s="378"/>
      <c r="E200" s="378"/>
      <c r="F200" s="378"/>
      <c r="G200" s="378"/>
      <c r="H200" s="378"/>
      <c r="I200" s="378"/>
      <c r="J200" s="378"/>
      <c r="K200" s="378"/>
      <c r="L200" s="378"/>
      <c r="M200" s="378"/>
      <c r="N200" s="378"/>
      <c r="O200" s="378"/>
      <c r="P200" s="378"/>
      <c r="Q200" s="378"/>
      <c r="R200" s="378"/>
      <c r="S200" s="378"/>
      <c r="T200" s="378"/>
      <c r="U200" s="378"/>
      <c r="V200" s="378"/>
      <c r="W200" s="378"/>
      <c r="X200" s="378"/>
    </row>
    <row r="201" spans="2:24" s="359" customFormat="1" ht="20.100000000000001" customHeight="1">
      <c r="B201" s="378"/>
      <c r="C201" s="378"/>
      <c r="D201" s="378"/>
      <c r="E201" s="378"/>
      <c r="F201" s="378"/>
      <c r="G201" s="378"/>
      <c r="H201" s="378"/>
      <c r="I201" s="378"/>
      <c r="J201" s="378"/>
      <c r="K201" s="378"/>
      <c r="L201" s="378"/>
      <c r="M201" s="378"/>
      <c r="N201" s="378"/>
      <c r="O201" s="378"/>
      <c r="P201" s="378"/>
      <c r="Q201" s="378"/>
      <c r="R201" s="378"/>
      <c r="S201" s="378"/>
      <c r="T201" s="378"/>
      <c r="U201" s="378"/>
      <c r="V201" s="378"/>
      <c r="W201" s="378"/>
      <c r="X201" s="378"/>
    </row>
    <row r="202" spans="2:24" s="359" customFormat="1" ht="20.100000000000001" customHeight="1">
      <c r="B202" s="378"/>
      <c r="C202" s="378"/>
      <c r="D202" s="378"/>
      <c r="E202" s="378"/>
      <c r="F202" s="378"/>
      <c r="G202" s="378"/>
      <c r="H202" s="378"/>
      <c r="I202" s="378"/>
      <c r="J202" s="378"/>
      <c r="K202" s="378"/>
      <c r="L202" s="378"/>
      <c r="M202" s="378"/>
      <c r="N202" s="378"/>
      <c r="O202" s="378"/>
      <c r="P202" s="378"/>
      <c r="Q202" s="378"/>
      <c r="R202" s="378"/>
      <c r="S202" s="378"/>
      <c r="T202" s="378"/>
      <c r="U202" s="378"/>
      <c r="V202" s="378"/>
      <c r="W202" s="378"/>
      <c r="X202" s="378"/>
    </row>
    <row r="203" spans="2:24" s="359" customFormat="1" ht="20.100000000000001" customHeight="1">
      <c r="B203" s="378"/>
      <c r="C203" s="378"/>
      <c r="D203" s="378"/>
      <c r="E203" s="378"/>
      <c r="F203" s="378"/>
      <c r="G203" s="378"/>
      <c r="H203" s="378"/>
      <c r="I203" s="378"/>
      <c r="J203" s="378"/>
      <c r="K203" s="378"/>
      <c r="L203" s="378"/>
      <c r="M203" s="378"/>
      <c r="N203" s="378"/>
      <c r="O203" s="378"/>
      <c r="P203" s="378"/>
      <c r="Q203" s="378"/>
      <c r="R203" s="378"/>
      <c r="S203" s="378"/>
      <c r="T203" s="378"/>
      <c r="U203" s="378"/>
      <c r="V203" s="378"/>
      <c r="W203" s="378"/>
      <c r="X203" s="378"/>
    </row>
    <row r="204" spans="2:24" s="359" customFormat="1" ht="20.100000000000001" customHeight="1">
      <c r="B204" s="378"/>
      <c r="C204" s="378"/>
      <c r="D204" s="378"/>
      <c r="E204" s="378"/>
      <c r="F204" s="378"/>
      <c r="G204" s="378"/>
      <c r="H204" s="378"/>
      <c r="I204" s="378"/>
      <c r="J204" s="378"/>
      <c r="K204" s="378"/>
      <c r="L204" s="378"/>
      <c r="M204" s="378"/>
      <c r="N204" s="378"/>
      <c r="O204" s="378"/>
      <c r="P204" s="378"/>
      <c r="Q204" s="378"/>
      <c r="R204" s="378"/>
      <c r="S204" s="378"/>
      <c r="T204" s="378"/>
      <c r="U204" s="378"/>
      <c r="V204" s="378"/>
      <c r="W204" s="378"/>
      <c r="X204" s="378"/>
    </row>
    <row r="205" spans="2:24" s="359" customFormat="1" ht="20.100000000000001" customHeight="1">
      <c r="B205" s="378"/>
      <c r="C205" s="378"/>
      <c r="D205" s="378"/>
      <c r="E205" s="378"/>
      <c r="F205" s="378"/>
      <c r="G205" s="378"/>
      <c r="H205" s="378"/>
      <c r="I205" s="378"/>
      <c r="J205" s="378"/>
      <c r="K205" s="378"/>
      <c r="L205" s="378"/>
      <c r="M205" s="378"/>
      <c r="N205" s="378"/>
      <c r="O205" s="378"/>
      <c r="P205" s="378"/>
      <c r="Q205" s="378"/>
      <c r="R205" s="378"/>
      <c r="S205" s="378"/>
      <c r="T205" s="378"/>
      <c r="U205" s="378"/>
      <c r="V205" s="378"/>
      <c r="W205" s="378"/>
      <c r="X205" s="378"/>
    </row>
    <row r="206" spans="2:24" s="359" customFormat="1" ht="20.100000000000001" customHeight="1">
      <c r="B206" s="378"/>
      <c r="C206" s="378"/>
      <c r="D206" s="378"/>
      <c r="E206" s="378"/>
      <c r="F206" s="378"/>
      <c r="G206" s="378"/>
      <c r="H206" s="378"/>
      <c r="I206" s="378"/>
      <c r="J206" s="378"/>
      <c r="K206" s="378"/>
      <c r="L206" s="378"/>
      <c r="M206" s="378"/>
      <c r="N206" s="378"/>
      <c r="O206" s="378"/>
      <c r="P206" s="378"/>
      <c r="Q206" s="378"/>
      <c r="R206" s="378"/>
      <c r="S206" s="378"/>
      <c r="T206" s="378"/>
      <c r="U206" s="378"/>
      <c r="V206" s="378"/>
      <c r="W206" s="378"/>
      <c r="X206" s="378"/>
    </row>
    <row r="207" spans="2:24" s="359" customFormat="1" ht="20.100000000000001" customHeight="1">
      <c r="B207" s="378"/>
      <c r="C207" s="378"/>
      <c r="D207" s="378"/>
      <c r="E207" s="378"/>
      <c r="F207" s="378"/>
      <c r="G207" s="378"/>
      <c r="H207" s="378"/>
      <c r="I207" s="378"/>
      <c r="J207" s="378"/>
      <c r="K207" s="378"/>
      <c r="L207" s="378"/>
      <c r="M207" s="378"/>
      <c r="N207" s="378"/>
      <c r="O207" s="378"/>
      <c r="P207" s="378"/>
      <c r="Q207" s="378"/>
      <c r="R207" s="378"/>
      <c r="S207" s="378"/>
      <c r="T207" s="378"/>
      <c r="U207" s="378"/>
      <c r="V207" s="378"/>
      <c r="W207" s="378"/>
      <c r="X207" s="378"/>
    </row>
    <row r="208" spans="2:24" s="359" customFormat="1" ht="20.100000000000001" customHeight="1">
      <c r="B208" s="378"/>
      <c r="C208" s="378"/>
      <c r="D208" s="378"/>
      <c r="E208" s="378"/>
      <c r="F208" s="378"/>
      <c r="G208" s="378"/>
      <c r="H208" s="378"/>
      <c r="I208" s="378"/>
      <c r="J208" s="378"/>
      <c r="K208" s="378"/>
      <c r="L208" s="378"/>
      <c r="M208" s="378"/>
      <c r="N208" s="378"/>
      <c r="O208" s="378"/>
      <c r="P208" s="378"/>
      <c r="Q208" s="378"/>
      <c r="R208" s="378"/>
      <c r="S208" s="378"/>
      <c r="T208" s="378"/>
      <c r="U208" s="378"/>
      <c r="V208" s="378"/>
      <c r="W208" s="378"/>
      <c r="X208" s="378"/>
    </row>
    <row r="209" spans="2:24" s="359" customFormat="1" ht="20.100000000000001" customHeight="1">
      <c r="B209" s="378"/>
      <c r="C209" s="378"/>
      <c r="D209" s="378"/>
      <c r="E209" s="378"/>
      <c r="F209" s="378"/>
      <c r="G209" s="378"/>
      <c r="H209" s="378"/>
      <c r="I209" s="378"/>
      <c r="J209" s="378"/>
      <c r="K209" s="378"/>
      <c r="L209" s="378"/>
      <c r="M209" s="378"/>
      <c r="N209" s="378"/>
      <c r="O209" s="378"/>
      <c r="P209" s="378"/>
      <c r="Q209" s="378"/>
      <c r="R209" s="378"/>
      <c r="S209" s="378"/>
      <c r="T209" s="378"/>
      <c r="U209" s="378"/>
      <c r="V209" s="378"/>
      <c r="W209" s="378"/>
      <c r="X209" s="378"/>
    </row>
    <row r="210" spans="2:24" s="359" customFormat="1" ht="20.100000000000001" customHeight="1">
      <c r="B210" s="378"/>
      <c r="C210" s="378"/>
      <c r="D210" s="378"/>
      <c r="E210" s="378"/>
      <c r="F210" s="378"/>
      <c r="G210" s="378"/>
      <c r="H210" s="378"/>
      <c r="I210" s="378"/>
      <c r="J210" s="378"/>
      <c r="K210" s="378"/>
      <c r="L210" s="378"/>
      <c r="M210" s="378"/>
      <c r="N210" s="378"/>
      <c r="O210" s="378"/>
      <c r="P210" s="378"/>
      <c r="Q210" s="378"/>
      <c r="R210" s="378"/>
      <c r="S210" s="378"/>
      <c r="T210" s="378"/>
      <c r="U210" s="378"/>
      <c r="V210" s="378"/>
      <c r="W210" s="378"/>
      <c r="X210" s="378"/>
    </row>
    <row r="211" spans="2:24" s="359" customFormat="1" ht="20.100000000000001" customHeight="1">
      <c r="B211" s="378"/>
      <c r="C211" s="378"/>
      <c r="D211" s="378"/>
      <c r="E211" s="378"/>
      <c r="F211" s="378"/>
      <c r="G211" s="378"/>
      <c r="H211" s="378"/>
      <c r="I211" s="378"/>
      <c r="J211" s="378"/>
      <c r="K211" s="378"/>
      <c r="L211" s="378"/>
      <c r="M211" s="378"/>
      <c r="N211" s="378"/>
      <c r="O211" s="378"/>
      <c r="P211" s="378"/>
      <c r="Q211" s="378"/>
      <c r="R211" s="378"/>
      <c r="S211" s="378"/>
      <c r="T211" s="378"/>
      <c r="U211" s="378"/>
      <c r="V211" s="378"/>
      <c r="W211" s="378"/>
      <c r="X211" s="378"/>
    </row>
    <row r="212" spans="2:24" s="359" customFormat="1" ht="20.100000000000001" customHeight="1">
      <c r="B212" s="378"/>
      <c r="C212" s="378"/>
      <c r="D212" s="378"/>
      <c r="E212" s="378"/>
      <c r="F212" s="378"/>
      <c r="G212" s="378"/>
      <c r="H212" s="378"/>
      <c r="I212" s="378"/>
      <c r="J212" s="378"/>
      <c r="K212" s="378"/>
      <c r="L212" s="378"/>
      <c r="M212" s="378"/>
      <c r="N212" s="378"/>
      <c r="O212" s="378"/>
      <c r="P212" s="378"/>
      <c r="Q212" s="378"/>
      <c r="R212" s="378"/>
      <c r="S212" s="378"/>
      <c r="T212" s="378"/>
      <c r="U212" s="378"/>
      <c r="V212" s="378"/>
      <c r="W212" s="378"/>
      <c r="X212" s="378"/>
    </row>
    <row r="213" spans="2:24" s="359" customFormat="1" ht="20.100000000000001" customHeight="1">
      <c r="B213" s="378"/>
      <c r="C213" s="378"/>
      <c r="D213" s="378"/>
      <c r="E213" s="378"/>
      <c r="F213" s="378"/>
      <c r="G213" s="378"/>
      <c r="H213" s="378"/>
      <c r="I213" s="378"/>
      <c r="J213" s="378"/>
      <c r="K213" s="378"/>
      <c r="L213" s="378"/>
      <c r="M213" s="378"/>
      <c r="N213" s="378"/>
      <c r="O213" s="378"/>
      <c r="P213" s="378"/>
      <c r="Q213" s="378"/>
      <c r="R213" s="378"/>
      <c r="S213" s="378"/>
      <c r="T213" s="378"/>
      <c r="U213" s="378"/>
      <c r="V213" s="378"/>
      <c r="W213" s="378"/>
      <c r="X213" s="378"/>
    </row>
    <row r="214" spans="2:24" s="359" customFormat="1" ht="20.100000000000001" customHeight="1">
      <c r="B214" s="378"/>
      <c r="C214" s="378"/>
      <c r="D214" s="378"/>
      <c r="E214" s="378"/>
      <c r="F214" s="378"/>
      <c r="G214" s="378"/>
      <c r="H214" s="378"/>
      <c r="I214" s="378"/>
      <c r="J214" s="378"/>
      <c r="K214" s="378"/>
      <c r="L214" s="378"/>
      <c r="M214" s="378"/>
      <c r="N214" s="378"/>
      <c r="O214" s="378"/>
      <c r="P214" s="378"/>
      <c r="Q214" s="378"/>
      <c r="R214" s="378"/>
      <c r="S214" s="378"/>
      <c r="T214" s="378"/>
      <c r="U214" s="378"/>
      <c r="V214" s="378"/>
      <c r="W214" s="378"/>
      <c r="X214" s="378"/>
    </row>
    <row r="215" spans="2:24" s="359" customFormat="1" ht="20.100000000000001" customHeight="1">
      <c r="B215" s="378"/>
      <c r="C215" s="378"/>
      <c r="D215" s="378"/>
      <c r="E215" s="378"/>
      <c r="F215" s="378"/>
      <c r="G215" s="378"/>
      <c r="H215" s="378"/>
      <c r="I215" s="378"/>
      <c r="J215" s="378"/>
      <c r="K215" s="378"/>
      <c r="L215" s="378"/>
      <c r="M215" s="378"/>
      <c r="N215" s="378"/>
      <c r="O215" s="378"/>
      <c r="P215" s="378"/>
      <c r="Q215" s="378"/>
      <c r="R215" s="378"/>
      <c r="S215" s="378"/>
      <c r="T215" s="378"/>
      <c r="U215" s="378"/>
      <c r="V215" s="378"/>
      <c r="W215" s="378"/>
      <c r="X215" s="378"/>
    </row>
    <row r="216" spans="2:24" s="359" customFormat="1" ht="20.100000000000001" customHeight="1">
      <c r="B216" s="378"/>
      <c r="C216" s="378"/>
      <c r="D216" s="378"/>
      <c r="E216" s="378"/>
      <c r="F216" s="378"/>
      <c r="G216" s="378"/>
      <c r="H216" s="378"/>
      <c r="I216" s="378"/>
      <c r="J216" s="378"/>
      <c r="K216" s="378"/>
      <c r="L216" s="378"/>
      <c r="M216" s="378"/>
      <c r="N216" s="378"/>
      <c r="O216" s="378"/>
      <c r="P216" s="378"/>
      <c r="Q216" s="378"/>
      <c r="R216" s="378"/>
      <c r="S216" s="378"/>
      <c r="T216" s="378"/>
      <c r="U216" s="378"/>
      <c r="V216" s="378"/>
      <c r="W216" s="378"/>
      <c r="X216" s="378"/>
    </row>
    <row r="217" spans="2:24" s="359" customFormat="1" ht="20.100000000000001" customHeight="1">
      <c r="B217" s="378"/>
      <c r="C217" s="378"/>
      <c r="D217" s="378"/>
      <c r="E217" s="378"/>
      <c r="F217" s="378"/>
      <c r="G217" s="378"/>
      <c r="H217" s="378"/>
      <c r="I217" s="378"/>
      <c r="J217" s="378"/>
      <c r="K217" s="378"/>
      <c r="L217" s="378"/>
      <c r="M217" s="378"/>
      <c r="N217" s="378"/>
      <c r="O217" s="378"/>
      <c r="P217" s="378"/>
      <c r="Q217" s="378"/>
      <c r="R217" s="378"/>
      <c r="S217" s="378"/>
      <c r="T217" s="378"/>
      <c r="U217" s="378"/>
      <c r="V217" s="378"/>
      <c r="W217" s="378"/>
      <c r="X217" s="378"/>
    </row>
    <row r="218" spans="2:24" ht="20.100000000000001" customHeight="1"/>
    <row r="219" spans="2:24" ht="10.15" customHeight="1"/>
    <row r="220" spans="2:24" ht="20.100000000000001" customHeight="1"/>
    <row r="221" spans="2:24" ht="20.100000000000001" customHeight="1"/>
    <row r="222" spans="2:24" ht="20.100000000000001" customHeight="1"/>
    <row r="223" spans="2:24" s="359" customFormat="1" ht="20.100000000000001" customHeight="1">
      <c r="B223" s="378"/>
      <c r="C223" s="378"/>
      <c r="D223" s="378"/>
      <c r="E223" s="378"/>
      <c r="F223" s="378"/>
      <c r="G223" s="378"/>
      <c r="H223" s="378"/>
      <c r="I223" s="378"/>
      <c r="J223" s="378"/>
      <c r="K223" s="378"/>
      <c r="L223" s="378"/>
      <c r="M223" s="378"/>
      <c r="N223" s="378"/>
      <c r="O223" s="378"/>
      <c r="P223" s="378"/>
      <c r="Q223" s="378"/>
      <c r="R223" s="378"/>
      <c r="S223" s="378"/>
      <c r="T223" s="378"/>
      <c r="U223" s="378"/>
      <c r="V223" s="378"/>
      <c r="W223" s="378"/>
      <c r="X223" s="378"/>
    </row>
    <row r="224" spans="2:24" s="359" customFormat="1" ht="20.100000000000001" customHeight="1">
      <c r="B224" s="378"/>
      <c r="C224" s="378"/>
      <c r="D224" s="378"/>
      <c r="E224" s="378"/>
      <c r="F224" s="378"/>
      <c r="G224" s="378"/>
      <c r="H224" s="378"/>
      <c r="I224" s="378"/>
      <c r="J224" s="378"/>
      <c r="K224" s="378"/>
      <c r="L224" s="378"/>
      <c r="M224" s="378"/>
      <c r="N224" s="378"/>
      <c r="O224" s="378"/>
      <c r="P224" s="378"/>
      <c r="Q224" s="378"/>
      <c r="R224" s="378"/>
      <c r="S224" s="378"/>
      <c r="T224" s="378"/>
      <c r="U224" s="378"/>
      <c r="V224" s="378"/>
      <c r="W224" s="378"/>
      <c r="X224" s="378"/>
    </row>
    <row r="225" spans="2:24" s="359" customFormat="1" ht="20.100000000000001" customHeight="1">
      <c r="B225" s="378"/>
      <c r="C225" s="378"/>
      <c r="D225" s="378"/>
      <c r="E225" s="378"/>
      <c r="F225" s="378"/>
      <c r="G225" s="378"/>
      <c r="H225" s="378"/>
      <c r="I225" s="378"/>
      <c r="J225" s="378"/>
      <c r="K225" s="378"/>
      <c r="L225" s="378"/>
      <c r="M225" s="378"/>
      <c r="N225" s="378"/>
      <c r="O225" s="378"/>
      <c r="P225" s="378"/>
      <c r="Q225" s="378"/>
      <c r="R225" s="378"/>
      <c r="S225" s="378"/>
      <c r="T225" s="378"/>
      <c r="U225" s="378"/>
      <c r="V225" s="378"/>
      <c r="W225" s="378"/>
      <c r="X225" s="378"/>
    </row>
    <row r="226" spans="2:24" s="359" customFormat="1" ht="20.100000000000001" customHeight="1">
      <c r="B226" s="378"/>
      <c r="C226" s="378"/>
      <c r="D226" s="378"/>
      <c r="E226" s="378"/>
      <c r="F226" s="378"/>
      <c r="G226" s="378"/>
      <c r="H226" s="378"/>
      <c r="I226" s="378"/>
      <c r="J226" s="378"/>
      <c r="K226" s="378"/>
      <c r="L226" s="378"/>
      <c r="M226" s="378"/>
      <c r="N226" s="378"/>
      <c r="O226" s="378"/>
      <c r="P226" s="378"/>
      <c r="Q226" s="378"/>
      <c r="R226" s="378"/>
      <c r="S226" s="378"/>
      <c r="T226" s="378"/>
      <c r="U226" s="378"/>
      <c r="V226" s="378"/>
      <c r="W226" s="378"/>
      <c r="X226" s="378"/>
    </row>
    <row r="227" spans="2:24" s="359" customFormat="1" ht="20.100000000000001" customHeight="1">
      <c r="B227" s="378"/>
      <c r="C227" s="378"/>
      <c r="D227" s="378"/>
      <c r="E227" s="378"/>
      <c r="F227" s="378"/>
      <c r="G227" s="378"/>
      <c r="H227" s="378"/>
      <c r="I227" s="378"/>
      <c r="J227" s="378"/>
      <c r="K227" s="378"/>
      <c r="L227" s="378"/>
      <c r="M227" s="378"/>
      <c r="N227" s="378"/>
      <c r="O227" s="378"/>
      <c r="P227" s="378"/>
      <c r="Q227" s="378"/>
      <c r="R227" s="378"/>
      <c r="S227" s="378"/>
      <c r="T227" s="378"/>
      <c r="U227" s="378"/>
      <c r="V227" s="378"/>
      <c r="W227" s="378"/>
      <c r="X227" s="378"/>
    </row>
    <row r="228" spans="2:24" s="359" customFormat="1" ht="20.100000000000001" customHeight="1">
      <c r="B228" s="378"/>
      <c r="C228" s="378"/>
      <c r="D228" s="378"/>
      <c r="E228" s="378"/>
      <c r="F228" s="378"/>
      <c r="G228" s="378"/>
      <c r="H228" s="378"/>
      <c r="I228" s="378"/>
      <c r="J228" s="378"/>
      <c r="K228" s="378"/>
      <c r="L228" s="378"/>
      <c r="M228" s="378"/>
      <c r="N228" s="378"/>
      <c r="O228" s="378"/>
      <c r="P228" s="378"/>
      <c r="Q228" s="378"/>
      <c r="R228" s="378"/>
      <c r="S228" s="378"/>
      <c r="T228" s="378"/>
      <c r="U228" s="378"/>
      <c r="V228" s="378"/>
      <c r="W228" s="378"/>
      <c r="X228" s="378"/>
    </row>
    <row r="229" spans="2:24" s="359" customFormat="1" ht="20.100000000000001" customHeight="1">
      <c r="B229" s="378"/>
      <c r="C229" s="378"/>
      <c r="D229" s="378"/>
      <c r="E229" s="378"/>
      <c r="F229" s="378"/>
      <c r="G229" s="378"/>
      <c r="H229" s="378"/>
      <c r="I229" s="378"/>
      <c r="J229" s="378"/>
      <c r="K229" s="378"/>
      <c r="L229" s="378"/>
      <c r="M229" s="378"/>
      <c r="N229" s="378"/>
      <c r="O229" s="378"/>
      <c r="P229" s="378"/>
      <c r="Q229" s="378"/>
      <c r="R229" s="378"/>
      <c r="S229" s="378"/>
      <c r="T229" s="378"/>
      <c r="U229" s="378"/>
      <c r="V229" s="378"/>
      <c r="W229" s="378"/>
      <c r="X229" s="378"/>
    </row>
    <row r="230" spans="2:24" s="359" customFormat="1" ht="20.100000000000001" customHeight="1">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row>
    <row r="231" spans="2:24" s="359" customFormat="1" ht="20.100000000000001" customHeight="1">
      <c r="B231" s="378"/>
      <c r="C231" s="378"/>
      <c r="D231" s="378"/>
      <c r="E231" s="378"/>
      <c r="F231" s="378"/>
      <c r="G231" s="378"/>
      <c r="H231" s="378"/>
      <c r="I231" s="378"/>
      <c r="J231" s="378"/>
      <c r="K231" s="378"/>
      <c r="L231" s="378"/>
      <c r="M231" s="378"/>
      <c r="N231" s="378"/>
      <c r="O231" s="378"/>
      <c r="P231" s="378"/>
      <c r="Q231" s="378"/>
      <c r="R231" s="378"/>
      <c r="S231" s="378"/>
      <c r="T231" s="378"/>
      <c r="U231" s="378"/>
      <c r="V231" s="378"/>
      <c r="W231" s="378"/>
      <c r="X231" s="378"/>
    </row>
    <row r="232" spans="2:24" s="359" customFormat="1" ht="20.100000000000001" customHeight="1">
      <c r="B232" s="378"/>
      <c r="C232" s="378"/>
      <c r="D232" s="378"/>
      <c r="E232" s="378"/>
      <c r="F232" s="378"/>
      <c r="G232" s="378"/>
      <c r="H232" s="378"/>
      <c r="I232" s="378"/>
      <c r="J232" s="378"/>
      <c r="K232" s="378"/>
      <c r="L232" s="378"/>
      <c r="M232" s="378"/>
      <c r="N232" s="378"/>
      <c r="O232" s="378"/>
      <c r="P232" s="378"/>
      <c r="Q232" s="378"/>
      <c r="R232" s="378"/>
      <c r="S232" s="378"/>
      <c r="T232" s="378"/>
      <c r="U232" s="378"/>
      <c r="V232" s="378"/>
      <c r="W232" s="378"/>
      <c r="X232" s="378"/>
    </row>
    <row r="233" spans="2:24" s="359" customFormat="1" ht="20.100000000000001" customHeight="1">
      <c r="B233" s="378"/>
      <c r="C233" s="378"/>
      <c r="D233" s="378"/>
      <c r="E233" s="378"/>
      <c r="F233" s="378"/>
      <c r="G233" s="378"/>
      <c r="H233" s="378"/>
      <c r="I233" s="378"/>
      <c r="J233" s="378"/>
      <c r="K233" s="378"/>
      <c r="L233" s="378"/>
      <c r="M233" s="378"/>
      <c r="N233" s="378"/>
      <c r="O233" s="378"/>
      <c r="P233" s="378"/>
      <c r="Q233" s="378"/>
      <c r="R233" s="378"/>
      <c r="S233" s="378"/>
      <c r="T233" s="378"/>
      <c r="U233" s="378"/>
      <c r="V233" s="378"/>
      <c r="W233" s="378"/>
      <c r="X233" s="378"/>
    </row>
    <row r="234" spans="2:24" s="359" customFormat="1" ht="20.100000000000001" customHeight="1">
      <c r="B234" s="378"/>
      <c r="C234" s="378"/>
      <c r="D234" s="378"/>
      <c r="E234" s="378"/>
      <c r="F234" s="378"/>
      <c r="G234" s="378"/>
      <c r="H234" s="378"/>
      <c r="I234" s="378"/>
      <c r="J234" s="378"/>
      <c r="K234" s="378"/>
      <c r="L234" s="378"/>
      <c r="M234" s="378"/>
      <c r="N234" s="378"/>
      <c r="O234" s="378"/>
      <c r="P234" s="378"/>
      <c r="Q234" s="378"/>
      <c r="R234" s="378"/>
      <c r="S234" s="378"/>
      <c r="T234" s="378"/>
      <c r="U234" s="378"/>
      <c r="V234" s="378"/>
      <c r="W234" s="378"/>
      <c r="X234" s="378"/>
    </row>
    <row r="235" spans="2:24" s="359" customFormat="1" ht="20.100000000000001" customHeight="1">
      <c r="B235" s="378"/>
      <c r="C235" s="378"/>
      <c r="D235" s="378"/>
      <c r="E235" s="378"/>
      <c r="F235" s="378"/>
      <c r="G235" s="378"/>
      <c r="H235" s="378"/>
      <c r="I235" s="378"/>
      <c r="J235" s="378"/>
      <c r="K235" s="378"/>
      <c r="L235" s="378"/>
      <c r="M235" s="378"/>
      <c r="N235" s="378"/>
      <c r="O235" s="378"/>
      <c r="P235" s="378"/>
      <c r="Q235" s="378"/>
      <c r="R235" s="378"/>
      <c r="S235" s="378"/>
      <c r="T235" s="378"/>
      <c r="U235" s="378"/>
      <c r="V235" s="378"/>
      <c r="W235" s="378"/>
      <c r="X235" s="378"/>
    </row>
    <row r="236" spans="2:24" s="359" customFormat="1" ht="20.100000000000001" customHeight="1">
      <c r="B236" s="378"/>
      <c r="C236" s="378"/>
      <c r="D236" s="378"/>
      <c r="E236" s="378"/>
      <c r="F236" s="378"/>
      <c r="G236" s="378"/>
      <c r="H236" s="378"/>
      <c r="I236" s="378"/>
      <c r="J236" s="378"/>
      <c r="K236" s="378"/>
      <c r="L236" s="378"/>
      <c r="M236" s="378"/>
      <c r="N236" s="378"/>
      <c r="O236" s="378"/>
      <c r="P236" s="378"/>
      <c r="Q236" s="378"/>
      <c r="R236" s="378"/>
      <c r="S236" s="378"/>
      <c r="T236" s="378"/>
      <c r="U236" s="378"/>
      <c r="V236" s="378"/>
      <c r="W236" s="378"/>
      <c r="X236" s="378"/>
    </row>
    <row r="237" spans="2:24" s="359" customFormat="1" ht="20.100000000000001" customHeight="1">
      <c r="B237" s="378"/>
      <c r="C237" s="378"/>
      <c r="D237" s="378"/>
      <c r="E237" s="378"/>
      <c r="F237" s="378"/>
      <c r="G237" s="378"/>
      <c r="H237" s="378"/>
      <c r="I237" s="378"/>
      <c r="J237" s="378"/>
      <c r="K237" s="378"/>
      <c r="L237" s="378"/>
      <c r="M237" s="378"/>
      <c r="N237" s="378"/>
      <c r="O237" s="378"/>
      <c r="P237" s="378"/>
      <c r="Q237" s="378"/>
      <c r="R237" s="378"/>
      <c r="S237" s="378"/>
      <c r="T237" s="378"/>
      <c r="U237" s="378"/>
      <c r="V237" s="378"/>
      <c r="W237" s="378"/>
      <c r="X237" s="378"/>
    </row>
    <row r="238" spans="2:24" s="359" customFormat="1" ht="20.100000000000001" customHeight="1">
      <c r="B238" s="378"/>
      <c r="C238" s="378"/>
      <c r="D238" s="378"/>
      <c r="E238" s="378"/>
      <c r="F238" s="378"/>
      <c r="G238" s="378"/>
      <c r="H238" s="378"/>
      <c r="I238" s="378"/>
      <c r="J238" s="378"/>
      <c r="K238" s="378"/>
      <c r="L238" s="378"/>
      <c r="M238" s="378"/>
      <c r="N238" s="378"/>
      <c r="O238" s="378"/>
      <c r="P238" s="378"/>
      <c r="Q238" s="378"/>
      <c r="R238" s="378"/>
      <c r="S238" s="378"/>
      <c r="T238" s="378"/>
      <c r="U238" s="378"/>
      <c r="V238" s="378"/>
      <c r="W238" s="378"/>
      <c r="X238" s="378"/>
    </row>
    <row r="239" spans="2:24" s="359" customFormat="1" ht="20.100000000000001" customHeight="1">
      <c r="B239" s="378"/>
      <c r="C239" s="378"/>
      <c r="D239" s="378"/>
      <c r="E239" s="378"/>
      <c r="F239" s="378"/>
      <c r="G239" s="378"/>
      <c r="H239" s="378"/>
      <c r="I239" s="378"/>
      <c r="J239" s="378"/>
      <c r="K239" s="378"/>
      <c r="L239" s="378"/>
      <c r="M239" s="378"/>
      <c r="N239" s="378"/>
      <c r="O239" s="378"/>
      <c r="P239" s="378"/>
      <c r="Q239" s="378"/>
      <c r="R239" s="378"/>
      <c r="S239" s="378"/>
      <c r="T239" s="378"/>
      <c r="U239" s="378"/>
      <c r="V239" s="378"/>
      <c r="W239" s="378"/>
      <c r="X239" s="378"/>
    </row>
    <row r="240" spans="2:24" s="359" customFormat="1" ht="20.100000000000001" customHeight="1">
      <c r="B240" s="378"/>
      <c r="C240" s="378"/>
      <c r="D240" s="378"/>
      <c r="E240" s="378"/>
      <c r="F240" s="378"/>
      <c r="G240" s="378"/>
      <c r="H240" s="378"/>
      <c r="I240" s="378"/>
      <c r="J240" s="378"/>
      <c r="K240" s="378"/>
      <c r="L240" s="378"/>
      <c r="M240" s="378"/>
      <c r="N240" s="378"/>
      <c r="O240" s="378"/>
      <c r="P240" s="378"/>
      <c r="Q240" s="378"/>
      <c r="R240" s="378"/>
      <c r="S240" s="378"/>
      <c r="T240" s="378"/>
      <c r="U240" s="378"/>
      <c r="V240" s="378"/>
      <c r="W240" s="378"/>
      <c r="X240" s="378"/>
    </row>
    <row r="241" spans="2:24" s="359" customFormat="1" ht="20.100000000000001" customHeight="1">
      <c r="B241" s="378"/>
      <c r="C241" s="378"/>
      <c r="D241" s="378"/>
      <c r="E241" s="378"/>
      <c r="F241" s="378"/>
      <c r="G241" s="378"/>
      <c r="H241" s="378"/>
      <c r="I241" s="378"/>
      <c r="J241" s="378"/>
      <c r="K241" s="378"/>
      <c r="L241" s="378"/>
      <c r="M241" s="378"/>
      <c r="N241" s="378"/>
      <c r="O241" s="378"/>
      <c r="P241" s="378"/>
      <c r="Q241" s="378"/>
      <c r="R241" s="378"/>
      <c r="S241" s="378"/>
      <c r="T241" s="378"/>
      <c r="U241" s="378"/>
      <c r="V241" s="378"/>
      <c r="W241" s="378"/>
      <c r="X241" s="378"/>
    </row>
    <row r="242" spans="2:24" s="359" customFormat="1" ht="20.100000000000001" customHeight="1">
      <c r="B242" s="378"/>
      <c r="C242" s="378"/>
      <c r="D242" s="378"/>
      <c r="E242" s="378"/>
      <c r="F242" s="378"/>
      <c r="G242" s="378"/>
      <c r="H242" s="378"/>
      <c r="I242" s="378"/>
      <c r="J242" s="378"/>
      <c r="K242" s="378"/>
      <c r="L242" s="378"/>
      <c r="M242" s="378"/>
      <c r="N242" s="378"/>
      <c r="O242" s="378"/>
      <c r="P242" s="378"/>
      <c r="Q242" s="378"/>
      <c r="R242" s="378"/>
      <c r="S242" s="378"/>
      <c r="T242" s="378"/>
      <c r="U242" s="378"/>
      <c r="V242" s="378"/>
      <c r="W242" s="378"/>
      <c r="X242" s="378"/>
    </row>
    <row r="243" spans="2:24" s="359" customFormat="1" ht="20.100000000000001" customHeight="1">
      <c r="B243" s="378"/>
      <c r="C243" s="378"/>
      <c r="D243" s="378"/>
      <c r="E243" s="378"/>
      <c r="F243" s="378"/>
      <c r="G243" s="378"/>
      <c r="H243" s="378"/>
      <c r="I243" s="378"/>
      <c r="J243" s="378"/>
      <c r="K243" s="378"/>
      <c r="L243" s="378"/>
      <c r="M243" s="378"/>
      <c r="N243" s="378"/>
      <c r="O243" s="378"/>
      <c r="P243" s="378"/>
      <c r="Q243" s="378"/>
      <c r="R243" s="378"/>
      <c r="S243" s="378"/>
      <c r="T243" s="378"/>
      <c r="U243" s="378"/>
      <c r="V243" s="378"/>
      <c r="W243" s="378"/>
      <c r="X243" s="378"/>
    </row>
    <row r="244" spans="2:24" s="359" customFormat="1" ht="20.100000000000001" customHeight="1">
      <c r="B244" s="378"/>
      <c r="C244" s="378"/>
      <c r="D244" s="378"/>
      <c r="E244" s="378"/>
      <c r="F244" s="378"/>
      <c r="G244" s="378"/>
      <c r="H244" s="378"/>
      <c r="I244" s="378"/>
      <c r="J244" s="378"/>
      <c r="K244" s="378"/>
      <c r="L244" s="378"/>
      <c r="M244" s="378"/>
      <c r="N244" s="378"/>
      <c r="O244" s="378"/>
      <c r="P244" s="378"/>
      <c r="Q244" s="378"/>
      <c r="R244" s="378"/>
      <c r="S244" s="378"/>
      <c r="T244" s="378"/>
      <c r="U244" s="378"/>
      <c r="V244" s="378"/>
      <c r="W244" s="378"/>
      <c r="X244" s="378"/>
    </row>
    <row r="245" spans="2:24" s="359" customFormat="1" ht="19.899999999999999" customHeight="1">
      <c r="B245" s="378"/>
      <c r="C245" s="378"/>
      <c r="D245" s="378"/>
      <c r="E245" s="378"/>
      <c r="F245" s="378"/>
      <c r="G245" s="378"/>
      <c r="H245" s="378"/>
      <c r="I245" s="378"/>
      <c r="J245" s="378"/>
      <c r="K245" s="378"/>
      <c r="L245" s="378"/>
      <c r="M245" s="378"/>
      <c r="N245" s="378"/>
      <c r="O245" s="378"/>
      <c r="P245" s="378"/>
      <c r="Q245" s="378"/>
      <c r="R245" s="378"/>
      <c r="S245" s="378"/>
      <c r="T245" s="378"/>
      <c r="U245" s="378"/>
      <c r="V245" s="378"/>
      <c r="W245" s="378"/>
      <c r="X245" s="378"/>
    </row>
    <row r="246" spans="2:24" s="359" customFormat="1" ht="20.100000000000001" customHeight="1">
      <c r="B246" s="378"/>
      <c r="C246" s="378"/>
      <c r="D246" s="378"/>
      <c r="E246" s="378"/>
      <c r="F246" s="378"/>
      <c r="G246" s="378"/>
      <c r="H246" s="378"/>
      <c r="I246" s="378"/>
      <c r="J246" s="378"/>
      <c r="K246" s="378"/>
      <c r="L246" s="378"/>
      <c r="M246" s="378"/>
      <c r="N246" s="378"/>
      <c r="O246" s="378"/>
      <c r="P246" s="378"/>
      <c r="Q246" s="378"/>
      <c r="R246" s="378"/>
      <c r="S246" s="378"/>
      <c r="T246" s="378"/>
      <c r="U246" s="378"/>
      <c r="V246" s="378"/>
      <c r="W246" s="378"/>
      <c r="X246" s="378"/>
    </row>
    <row r="247" spans="2:24" s="359" customFormat="1" ht="20.100000000000001" customHeight="1">
      <c r="B247" s="378"/>
      <c r="C247" s="378"/>
      <c r="D247" s="378"/>
      <c r="E247" s="378"/>
      <c r="F247" s="378"/>
      <c r="G247" s="378"/>
      <c r="H247" s="378"/>
      <c r="I247" s="378"/>
      <c r="J247" s="378"/>
      <c r="K247" s="378"/>
      <c r="L247" s="378"/>
      <c r="M247" s="378"/>
      <c r="N247" s="378"/>
      <c r="O247" s="378"/>
      <c r="P247" s="378"/>
      <c r="Q247" s="378"/>
      <c r="R247" s="378"/>
      <c r="S247" s="378"/>
      <c r="T247" s="378"/>
      <c r="U247" s="378"/>
      <c r="V247" s="378"/>
      <c r="W247" s="378"/>
      <c r="X247" s="378"/>
    </row>
    <row r="248" spans="2:24" s="359" customFormat="1" ht="20.100000000000001" customHeight="1">
      <c r="B248" s="378"/>
      <c r="C248" s="378"/>
      <c r="D248" s="378"/>
      <c r="E248" s="378"/>
      <c r="F248" s="378"/>
      <c r="G248" s="378"/>
      <c r="H248" s="378"/>
      <c r="I248" s="378"/>
      <c r="J248" s="378"/>
      <c r="K248" s="378"/>
      <c r="L248" s="378"/>
      <c r="M248" s="378"/>
      <c r="N248" s="378"/>
      <c r="O248" s="378"/>
      <c r="P248" s="378"/>
      <c r="Q248" s="378"/>
      <c r="R248" s="378"/>
      <c r="S248" s="378"/>
      <c r="T248" s="378"/>
      <c r="U248" s="378"/>
      <c r="V248" s="378"/>
      <c r="W248" s="378"/>
      <c r="X248" s="378"/>
    </row>
    <row r="249" spans="2:24" s="359" customFormat="1" ht="20.100000000000001" customHeight="1">
      <c r="B249" s="378"/>
      <c r="C249" s="378"/>
      <c r="D249" s="378"/>
      <c r="E249" s="378"/>
      <c r="F249" s="378"/>
      <c r="G249" s="378"/>
      <c r="H249" s="378"/>
      <c r="I249" s="378"/>
      <c r="J249" s="378"/>
      <c r="K249" s="378"/>
      <c r="L249" s="378"/>
      <c r="M249" s="378"/>
      <c r="N249" s="378"/>
      <c r="O249" s="378"/>
      <c r="P249" s="378"/>
      <c r="Q249" s="378"/>
      <c r="R249" s="378"/>
      <c r="S249" s="378"/>
      <c r="T249" s="378"/>
      <c r="U249" s="378"/>
      <c r="V249" s="378"/>
      <c r="W249" s="378"/>
      <c r="X249" s="378"/>
    </row>
    <row r="250" spans="2:24" s="359" customFormat="1" ht="20.100000000000001" customHeight="1">
      <c r="B250" s="378"/>
      <c r="C250" s="378"/>
      <c r="D250" s="378"/>
      <c r="E250" s="378"/>
      <c r="F250" s="378"/>
      <c r="G250" s="378"/>
      <c r="H250" s="378"/>
      <c r="I250" s="378"/>
      <c r="J250" s="378"/>
      <c r="K250" s="378"/>
      <c r="L250" s="378"/>
      <c r="M250" s="378"/>
      <c r="N250" s="378"/>
      <c r="O250" s="378"/>
      <c r="P250" s="378"/>
      <c r="Q250" s="378"/>
      <c r="R250" s="378"/>
      <c r="S250" s="378"/>
      <c r="T250" s="378"/>
      <c r="U250" s="378"/>
      <c r="V250" s="378"/>
      <c r="W250" s="378"/>
      <c r="X250" s="378"/>
    </row>
    <row r="251" spans="2:24" s="359" customFormat="1" ht="20.100000000000001" customHeight="1">
      <c r="B251" s="378"/>
      <c r="C251" s="378"/>
      <c r="D251" s="378"/>
      <c r="E251" s="378"/>
      <c r="F251" s="378"/>
      <c r="G251" s="378"/>
      <c r="H251" s="378"/>
      <c r="I251" s="378"/>
      <c r="J251" s="378"/>
      <c r="K251" s="378"/>
      <c r="L251" s="378"/>
      <c r="M251" s="378"/>
      <c r="N251" s="378"/>
      <c r="O251" s="378"/>
      <c r="P251" s="378"/>
      <c r="Q251" s="378"/>
      <c r="R251" s="378"/>
      <c r="S251" s="378"/>
      <c r="T251" s="378"/>
      <c r="U251" s="378"/>
      <c r="V251" s="378"/>
      <c r="W251" s="378"/>
      <c r="X251" s="378"/>
    </row>
    <row r="252" spans="2:24" s="359" customFormat="1" ht="20.100000000000001" customHeight="1">
      <c r="B252" s="378"/>
      <c r="C252" s="378"/>
      <c r="D252" s="378"/>
      <c r="E252" s="378"/>
      <c r="F252" s="378"/>
      <c r="G252" s="378"/>
      <c r="H252" s="378"/>
      <c r="I252" s="378"/>
      <c r="J252" s="378"/>
      <c r="K252" s="378"/>
      <c r="L252" s="378"/>
      <c r="M252" s="378"/>
      <c r="N252" s="378"/>
      <c r="O252" s="378"/>
      <c r="P252" s="378"/>
      <c r="Q252" s="378"/>
      <c r="R252" s="378"/>
      <c r="S252" s="378"/>
      <c r="T252" s="378"/>
      <c r="U252" s="378"/>
      <c r="V252" s="378"/>
      <c r="W252" s="378"/>
      <c r="X252" s="378"/>
    </row>
    <row r="253" spans="2:24" s="359" customFormat="1" ht="20.100000000000001" customHeight="1">
      <c r="B253" s="378"/>
      <c r="C253" s="378"/>
      <c r="D253" s="378"/>
      <c r="E253" s="378"/>
      <c r="F253" s="378"/>
      <c r="G253" s="378"/>
      <c r="H253" s="378"/>
      <c r="I253" s="378"/>
      <c r="J253" s="378"/>
      <c r="K253" s="378"/>
      <c r="L253" s="378"/>
      <c r="M253" s="378"/>
      <c r="N253" s="378"/>
      <c r="O253" s="378"/>
      <c r="P253" s="378"/>
      <c r="Q253" s="378"/>
      <c r="R253" s="378"/>
      <c r="S253" s="378"/>
      <c r="T253" s="378"/>
      <c r="U253" s="378"/>
      <c r="V253" s="378"/>
      <c r="W253" s="378"/>
      <c r="X253" s="378"/>
    </row>
    <row r="254" spans="2:24" s="359" customFormat="1" ht="20.100000000000001" customHeight="1">
      <c r="B254" s="378"/>
      <c r="C254" s="378"/>
      <c r="D254" s="378"/>
      <c r="E254" s="378"/>
      <c r="F254" s="378"/>
      <c r="G254" s="378"/>
      <c r="H254" s="378"/>
      <c r="I254" s="378"/>
      <c r="J254" s="378"/>
      <c r="K254" s="378"/>
      <c r="L254" s="378"/>
      <c r="M254" s="378"/>
      <c r="N254" s="378"/>
      <c r="O254" s="378"/>
      <c r="P254" s="378"/>
      <c r="Q254" s="378"/>
      <c r="R254" s="378"/>
      <c r="S254" s="378"/>
      <c r="T254" s="378"/>
      <c r="U254" s="378"/>
      <c r="V254" s="378"/>
      <c r="W254" s="378"/>
      <c r="X254" s="378"/>
    </row>
    <row r="255" spans="2:24" s="359" customFormat="1" ht="20.100000000000001" customHeight="1">
      <c r="B255" s="378"/>
      <c r="C255" s="378"/>
      <c r="D255" s="378"/>
      <c r="E255" s="378"/>
      <c r="F255" s="378"/>
      <c r="G255" s="378"/>
      <c r="H255" s="378"/>
      <c r="I255" s="378"/>
      <c r="J255" s="378"/>
      <c r="K255" s="378"/>
      <c r="L255" s="378"/>
      <c r="M255" s="378"/>
      <c r="N255" s="378"/>
      <c r="O255" s="378"/>
      <c r="P255" s="378"/>
      <c r="Q255" s="378"/>
      <c r="R255" s="378"/>
      <c r="S255" s="378"/>
      <c r="T255" s="378"/>
      <c r="U255" s="378"/>
      <c r="V255" s="378"/>
      <c r="W255" s="378"/>
      <c r="X255" s="378"/>
    </row>
    <row r="256" spans="2:24" s="359" customFormat="1" ht="20.100000000000001" customHeight="1">
      <c r="B256" s="378"/>
      <c r="C256" s="378"/>
      <c r="D256" s="378"/>
      <c r="E256" s="378"/>
      <c r="F256" s="378"/>
      <c r="G256" s="378"/>
      <c r="H256" s="378"/>
      <c r="I256" s="378"/>
      <c r="J256" s="378"/>
      <c r="K256" s="378"/>
      <c r="L256" s="378"/>
      <c r="M256" s="378"/>
      <c r="N256" s="378"/>
      <c r="O256" s="378"/>
      <c r="P256" s="378"/>
      <c r="Q256" s="378"/>
      <c r="R256" s="378"/>
      <c r="S256" s="378"/>
      <c r="T256" s="378"/>
      <c r="U256" s="378"/>
      <c r="V256" s="378"/>
      <c r="W256" s="378"/>
      <c r="X256" s="378"/>
    </row>
    <row r="257" spans="2:24" s="359" customFormat="1" ht="20.100000000000001" customHeight="1">
      <c r="B257" s="378"/>
      <c r="C257" s="378"/>
      <c r="D257" s="378"/>
      <c r="E257" s="378"/>
      <c r="F257" s="378"/>
      <c r="G257" s="378"/>
      <c r="H257" s="378"/>
      <c r="I257" s="378"/>
      <c r="J257" s="378"/>
      <c r="K257" s="378"/>
      <c r="L257" s="378"/>
      <c r="M257" s="378"/>
      <c r="N257" s="378"/>
      <c r="O257" s="378"/>
      <c r="P257" s="378"/>
      <c r="Q257" s="378"/>
      <c r="R257" s="378"/>
      <c r="S257" s="378"/>
      <c r="T257" s="378"/>
      <c r="U257" s="378"/>
      <c r="V257" s="378"/>
      <c r="W257" s="378"/>
      <c r="X257" s="378"/>
    </row>
    <row r="258" spans="2:24" s="359" customFormat="1" ht="20.100000000000001" customHeight="1">
      <c r="B258" s="378"/>
      <c r="C258" s="378"/>
      <c r="D258" s="378"/>
      <c r="E258" s="378"/>
      <c r="F258" s="378"/>
      <c r="G258" s="378"/>
      <c r="H258" s="378"/>
      <c r="I258" s="378"/>
      <c r="J258" s="378"/>
      <c r="K258" s="378"/>
      <c r="L258" s="378"/>
      <c r="M258" s="378"/>
      <c r="N258" s="378"/>
      <c r="O258" s="378"/>
      <c r="P258" s="378"/>
      <c r="Q258" s="378"/>
      <c r="R258" s="378"/>
      <c r="S258" s="378"/>
      <c r="T258" s="378"/>
      <c r="U258" s="378"/>
      <c r="V258" s="378"/>
      <c r="W258" s="378"/>
      <c r="X258" s="378"/>
    </row>
    <row r="259" spans="2:24" s="359" customFormat="1" ht="20.100000000000001" customHeight="1">
      <c r="B259" s="378"/>
      <c r="C259" s="378"/>
      <c r="D259" s="378"/>
      <c r="E259" s="378"/>
      <c r="F259" s="378"/>
      <c r="G259" s="378"/>
      <c r="H259" s="378"/>
      <c r="I259" s="378"/>
      <c r="J259" s="378"/>
      <c r="K259" s="378"/>
      <c r="L259" s="378"/>
      <c r="M259" s="378"/>
      <c r="N259" s="378"/>
      <c r="O259" s="378"/>
      <c r="P259" s="378"/>
      <c r="Q259" s="378"/>
      <c r="R259" s="378"/>
      <c r="S259" s="378"/>
      <c r="T259" s="378"/>
      <c r="U259" s="378"/>
      <c r="V259" s="378"/>
      <c r="W259" s="378"/>
      <c r="X259" s="378"/>
    </row>
    <row r="260" spans="2:24" ht="20.100000000000001" customHeight="1"/>
    <row r="261" spans="2:24" ht="10.15" customHeight="1"/>
    <row r="262" spans="2:24" ht="20.100000000000001" customHeight="1"/>
    <row r="263" spans="2:24" ht="20.100000000000001" customHeight="1"/>
    <row r="264" spans="2:24" ht="20.100000000000001" customHeight="1"/>
    <row r="265" spans="2:24" ht="20.100000000000001" customHeight="1"/>
    <row r="266" spans="2:24" s="359" customFormat="1" ht="20.100000000000001" customHeight="1">
      <c r="B266" s="378"/>
      <c r="C266" s="378"/>
      <c r="D266" s="378"/>
      <c r="E266" s="378"/>
      <c r="F266" s="378"/>
      <c r="G266" s="378"/>
      <c r="H266" s="378"/>
      <c r="I266" s="378"/>
      <c r="J266" s="378"/>
      <c r="K266" s="378"/>
      <c r="L266" s="378"/>
      <c r="M266" s="378"/>
      <c r="N266" s="378"/>
      <c r="O266" s="378"/>
      <c r="P266" s="378"/>
      <c r="Q266" s="378"/>
      <c r="R266" s="378"/>
      <c r="S266" s="378"/>
      <c r="T266" s="378"/>
      <c r="U266" s="378"/>
      <c r="V266" s="378"/>
      <c r="W266" s="378"/>
      <c r="X266" s="378"/>
    </row>
    <row r="267" spans="2:24" s="359" customFormat="1" ht="20.100000000000001" customHeight="1">
      <c r="B267" s="378"/>
      <c r="C267" s="378"/>
      <c r="D267" s="378"/>
      <c r="E267" s="378"/>
      <c r="F267" s="378"/>
      <c r="G267" s="378"/>
      <c r="H267" s="378"/>
      <c r="I267" s="378"/>
      <c r="J267" s="378"/>
      <c r="K267" s="378"/>
      <c r="L267" s="378"/>
      <c r="M267" s="378"/>
      <c r="N267" s="378"/>
      <c r="O267" s="378"/>
      <c r="P267" s="378"/>
      <c r="Q267" s="378"/>
      <c r="R267" s="378"/>
      <c r="S267" s="378"/>
      <c r="T267" s="378"/>
      <c r="U267" s="378"/>
      <c r="V267" s="378"/>
      <c r="W267" s="378"/>
      <c r="X267" s="378"/>
    </row>
    <row r="268" spans="2:24" s="359" customFormat="1" ht="20.100000000000001" customHeight="1">
      <c r="B268" s="378"/>
      <c r="C268" s="378"/>
      <c r="D268" s="378"/>
      <c r="E268" s="378"/>
      <c r="F268" s="378"/>
      <c r="G268" s="378"/>
      <c r="H268" s="378"/>
      <c r="I268" s="378"/>
      <c r="J268" s="378"/>
      <c r="K268" s="378"/>
      <c r="L268" s="378"/>
      <c r="M268" s="378"/>
      <c r="N268" s="378"/>
      <c r="O268" s="378"/>
      <c r="P268" s="378"/>
      <c r="Q268" s="378"/>
      <c r="R268" s="378"/>
      <c r="S268" s="378"/>
      <c r="T268" s="378"/>
      <c r="U268" s="378"/>
      <c r="V268" s="378"/>
      <c r="W268" s="378"/>
      <c r="X268" s="378"/>
    </row>
    <row r="269" spans="2:24" s="359" customFormat="1" ht="20.100000000000001" customHeight="1">
      <c r="B269" s="378"/>
      <c r="C269" s="378"/>
      <c r="D269" s="378"/>
      <c r="E269" s="378"/>
      <c r="F269" s="378"/>
      <c r="G269" s="378"/>
      <c r="H269" s="378"/>
      <c r="I269" s="378"/>
      <c r="J269" s="378"/>
      <c r="K269" s="378"/>
      <c r="L269" s="378"/>
      <c r="M269" s="378"/>
      <c r="N269" s="378"/>
      <c r="O269" s="378"/>
      <c r="P269" s="378"/>
      <c r="Q269" s="378"/>
      <c r="R269" s="378"/>
      <c r="S269" s="378"/>
      <c r="T269" s="378"/>
      <c r="U269" s="378"/>
      <c r="V269" s="378"/>
      <c r="W269" s="378"/>
      <c r="X269" s="378"/>
    </row>
    <row r="270" spans="2:24" s="359" customFormat="1" ht="20.100000000000001" customHeight="1">
      <c r="B270" s="378"/>
      <c r="C270" s="378"/>
      <c r="D270" s="378"/>
      <c r="E270" s="378"/>
      <c r="F270" s="378"/>
      <c r="G270" s="378"/>
      <c r="H270" s="378"/>
      <c r="I270" s="378"/>
      <c r="J270" s="378"/>
      <c r="K270" s="378"/>
      <c r="L270" s="378"/>
      <c r="M270" s="378"/>
      <c r="N270" s="378"/>
      <c r="O270" s="378"/>
      <c r="P270" s="378"/>
      <c r="Q270" s="378"/>
      <c r="R270" s="378"/>
      <c r="S270" s="378"/>
      <c r="T270" s="378"/>
      <c r="U270" s="378"/>
      <c r="V270" s="378"/>
      <c r="W270" s="378"/>
      <c r="X270" s="378"/>
    </row>
    <row r="271" spans="2:24" s="359" customFormat="1" ht="20.100000000000001" customHeight="1">
      <c r="B271" s="378"/>
      <c r="C271" s="378"/>
      <c r="D271" s="378"/>
      <c r="E271" s="378"/>
      <c r="F271" s="378"/>
      <c r="G271" s="378"/>
      <c r="H271" s="378"/>
      <c r="I271" s="378"/>
      <c r="J271" s="378"/>
      <c r="K271" s="378"/>
      <c r="L271" s="378"/>
      <c r="M271" s="378"/>
      <c r="N271" s="378"/>
      <c r="O271" s="378"/>
      <c r="P271" s="378"/>
      <c r="Q271" s="378"/>
      <c r="R271" s="378"/>
      <c r="S271" s="378"/>
      <c r="T271" s="378"/>
      <c r="U271" s="378"/>
      <c r="V271" s="378"/>
      <c r="W271" s="378"/>
      <c r="X271" s="378"/>
    </row>
    <row r="272" spans="2:24" s="359" customFormat="1" ht="20.100000000000001" customHeight="1">
      <c r="B272" s="378"/>
      <c r="C272" s="378"/>
      <c r="D272" s="378"/>
      <c r="E272" s="378"/>
      <c r="F272" s="378"/>
      <c r="G272" s="378"/>
      <c r="H272" s="378"/>
      <c r="I272" s="378"/>
      <c r="J272" s="378"/>
      <c r="K272" s="378"/>
      <c r="L272" s="378"/>
      <c r="M272" s="378"/>
      <c r="N272" s="378"/>
      <c r="O272" s="378"/>
      <c r="P272" s="378"/>
      <c r="Q272" s="378"/>
      <c r="R272" s="378"/>
      <c r="S272" s="378"/>
      <c r="T272" s="378"/>
      <c r="U272" s="378"/>
      <c r="V272" s="378"/>
      <c r="W272" s="378"/>
      <c r="X272" s="378"/>
    </row>
    <row r="273" spans="2:24" s="359" customFormat="1" ht="20.100000000000001" customHeight="1">
      <c r="B273" s="378"/>
      <c r="C273" s="378"/>
      <c r="D273" s="378"/>
      <c r="E273" s="378"/>
      <c r="F273" s="378"/>
      <c r="G273" s="378"/>
      <c r="H273" s="378"/>
      <c r="I273" s="378"/>
      <c r="J273" s="378"/>
      <c r="K273" s="378"/>
      <c r="L273" s="378"/>
      <c r="M273" s="378"/>
      <c r="N273" s="378"/>
      <c r="O273" s="378"/>
      <c r="P273" s="378"/>
      <c r="Q273" s="378"/>
      <c r="R273" s="378"/>
      <c r="S273" s="378"/>
      <c r="T273" s="378"/>
      <c r="U273" s="378"/>
      <c r="V273" s="378"/>
      <c r="W273" s="378"/>
      <c r="X273" s="378"/>
    </row>
    <row r="274" spans="2:24" s="359" customFormat="1" ht="20.100000000000001" customHeight="1">
      <c r="B274" s="378"/>
      <c r="C274" s="378"/>
      <c r="D274" s="378"/>
      <c r="E274" s="378"/>
      <c r="F274" s="378"/>
      <c r="G274" s="378"/>
      <c r="H274" s="378"/>
      <c r="I274" s="378"/>
      <c r="J274" s="378"/>
      <c r="K274" s="378"/>
      <c r="L274" s="378"/>
      <c r="M274" s="378"/>
      <c r="N274" s="378"/>
      <c r="O274" s="378"/>
      <c r="P274" s="378"/>
      <c r="Q274" s="378"/>
      <c r="R274" s="378"/>
      <c r="S274" s="378"/>
      <c r="T274" s="378"/>
      <c r="U274" s="378"/>
      <c r="V274" s="378"/>
      <c r="W274" s="378"/>
      <c r="X274" s="378"/>
    </row>
    <row r="275" spans="2:24" s="359" customFormat="1" ht="20.100000000000001" customHeight="1">
      <c r="B275" s="378"/>
      <c r="C275" s="378"/>
      <c r="D275" s="378"/>
      <c r="E275" s="378"/>
      <c r="F275" s="378"/>
      <c r="G275" s="378"/>
      <c r="H275" s="378"/>
      <c r="I275" s="378"/>
      <c r="J275" s="378"/>
      <c r="K275" s="378"/>
      <c r="L275" s="378"/>
      <c r="M275" s="378"/>
      <c r="N275" s="378"/>
      <c r="O275" s="378"/>
      <c r="P275" s="378"/>
      <c r="Q275" s="378"/>
      <c r="R275" s="378"/>
      <c r="S275" s="378"/>
      <c r="T275" s="378"/>
      <c r="U275" s="378"/>
      <c r="V275" s="378"/>
      <c r="W275" s="378"/>
      <c r="X275" s="378"/>
    </row>
    <row r="276" spans="2:24" s="359" customFormat="1" ht="20.100000000000001" customHeight="1">
      <c r="B276" s="378"/>
      <c r="C276" s="378"/>
      <c r="D276" s="378"/>
      <c r="E276" s="378"/>
      <c r="F276" s="378"/>
      <c r="G276" s="378"/>
      <c r="H276" s="378"/>
      <c r="I276" s="378"/>
      <c r="J276" s="378"/>
      <c r="K276" s="378"/>
      <c r="L276" s="378"/>
      <c r="M276" s="378"/>
      <c r="N276" s="378"/>
      <c r="O276" s="378"/>
      <c r="P276" s="378"/>
      <c r="Q276" s="378"/>
      <c r="R276" s="378"/>
      <c r="S276" s="378"/>
      <c r="T276" s="378"/>
      <c r="U276" s="378"/>
      <c r="V276" s="378"/>
      <c r="W276" s="378"/>
      <c r="X276" s="378"/>
    </row>
    <row r="277" spans="2:24" s="359" customFormat="1" ht="20.100000000000001" customHeight="1">
      <c r="B277" s="378"/>
      <c r="C277" s="378"/>
      <c r="D277" s="378"/>
      <c r="E277" s="378"/>
      <c r="F277" s="378"/>
      <c r="G277" s="378"/>
      <c r="H277" s="378"/>
      <c r="I277" s="378"/>
      <c r="J277" s="378"/>
      <c r="K277" s="378"/>
      <c r="L277" s="378"/>
      <c r="M277" s="378"/>
      <c r="N277" s="378"/>
      <c r="O277" s="378"/>
      <c r="P277" s="378"/>
      <c r="Q277" s="378"/>
      <c r="R277" s="378"/>
      <c r="S277" s="378"/>
      <c r="T277" s="378"/>
      <c r="U277" s="378"/>
      <c r="V277" s="378"/>
      <c r="W277" s="378"/>
      <c r="X277" s="378"/>
    </row>
    <row r="278" spans="2:24" s="359" customFormat="1" ht="20.100000000000001" customHeight="1">
      <c r="B278" s="378"/>
      <c r="C278" s="378"/>
      <c r="D278" s="378"/>
      <c r="E278" s="378"/>
      <c r="F278" s="378"/>
      <c r="G278" s="378"/>
      <c r="H278" s="378"/>
      <c r="I278" s="378"/>
      <c r="J278" s="378"/>
      <c r="K278" s="378"/>
      <c r="L278" s="378"/>
      <c r="M278" s="378"/>
      <c r="N278" s="378"/>
      <c r="O278" s="378"/>
      <c r="P278" s="378"/>
      <c r="Q278" s="378"/>
      <c r="R278" s="378"/>
      <c r="S278" s="378"/>
      <c r="T278" s="378"/>
      <c r="U278" s="378"/>
      <c r="V278" s="378"/>
      <c r="W278" s="378"/>
      <c r="X278" s="378"/>
    </row>
    <row r="279" spans="2:24" s="359" customFormat="1" ht="20.100000000000001" customHeight="1">
      <c r="B279" s="378"/>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row>
    <row r="280" spans="2:24" s="359" customFormat="1" ht="20.100000000000001" customHeight="1">
      <c r="B280" s="378"/>
      <c r="C280" s="378"/>
      <c r="D280" s="378"/>
      <c r="E280" s="378"/>
      <c r="F280" s="378"/>
      <c r="G280" s="378"/>
      <c r="H280" s="378"/>
      <c r="I280" s="378"/>
      <c r="J280" s="378"/>
      <c r="K280" s="378"/>
      <c r="L280" s="378"/>
      <c r="M280" s="378"/>
      <c r="N280" s="378"/>
      <c r="O280" s="378"/>
      <c r="P280" s="378"/>
      <c r="Q280" s="378"/>
      <c r="R280" s="378"/>
      <c r="S280" s="378"/>
      <c r="T280" s="378"/>
      <c r="U280" s="378"/>
      <c r="V280" s="378"/>
      <c r="W280" s="378"/>
      <c r="X280" s="378"/>
    </row>
    <row r="281" spans="2:24" s="359" customFormat="1" ht="20.100000000000001" customHeight="1">
      <c r="B281" s="378"/>
      <c r="C281" s="378"/>
      <c r="D281" s="378"/>
      <c r="E281" s="378"/>
      <c r="F281" s="378"/>
      <c r="G281" s="378"/>
      <c r="H281" s="378"/>
      <c r="I281" s="378"/>
      <c r="J281" s="378"/>
      <c r="K281" s="378"/>
      <c r="L281" s="378"/>
      <c r="M281" s="378"/>
      <c r="N281" s="378"/>
      <c r="O281" s="378"/>
      <c r="P281" s="378"/>
      <c r="Q281" s="378"/>
      <c r="R281" s="378"/>
      <c r="S281" s="378"/>
      <c r="T281" s="378"/>
      <c r="U281" s="378"/>
      <c r="V281" s="378"/>
      <c r="W281" s="378"/>
      <c r="X281" s="378"/>
    </row>
    <row r="282" spans="2:24" s="359" customFormat="1" ht="20.100000000000001" customHeight="1">
      <c r="B282" s="378"/>
      <c r="C282" s="378"/>
      <c r="D282" s="378"/>
      <c r="E282" s="378"/>
      <c r="F282" s="378"/>
      <c r="G282" s="378"/>
      <c r="H282" s="378"/>
      <c r="I282" s="378"/>
      <c r="J282" s="378"/>
      <c r="K282" s="378"/>
      <c r="L282" s="378"/>
      <c r="M282" s="378"/>
      <c r="N282" s="378"/>
      <c r="O282" s="378"/>
      <c r="P282" s="378"/>
      <c r="Q282" s="378"/>
      <c r="R282" s="378"/>
      <c r="S282" s="378"/>
      <c r="T282" s="378"/>
      <c r="U282" s="378"/>
      <c r="V282" s="378"/>
      <c r="W282" s="378"/>
      <c r="X282" s="378"/>
    </row>
    <row r="283" spans="2:24" s="359" customFormat="1" ht="20.100000000000001" customHeight="1">
      <c r="B283" s="378"/>
      <c r="C283" s="378"/>
      <c r="D283" s="378"/>
      <c r="E283" s="378"/>
      <c r="F283" s="378"/>
      <c r="G283" s="378"/>
      <c r="H283" s="378"/>
      <c r="I283" s="378"/>
      <c r="J283" s="378"/>
      <c r="K283" s="378"/>
      <c r="L283" s="378"/>
      <c r="M283" s="378"/>
      <c r="N283" s="378"/>
      <c r="O283" s="378"/>
      <c r="P283" s="378"/>
      <c r="Q283" s="378"/>
      <c r="R283" s="378"/>
      <c r="S283" s="378"/>
      <c r="T283" s="378"/>
      <c r="U283" s="378"/>
      <c r="V283" s="378"/>
      <c r="W283" s="378"/>
      <c r="X283" s="378"/>
    </row>
    <row r="284" spans="2:24" s="359" customFormat="1" ht="20.100000000000001" customHeight="1">
      <c r="B284" s="378"/>
      <c r="C284" s="378"/>
      <c r="D284" s="378"/>
      <c r="E284" s="378"/>
      <c r="F284" s="378"/>
      <c r="G284" s="378"/>
      <c r="H284" s="378"/>
      <c r="I284" s="378"/>
      <c r="J284" s="378"/>
      <c r="K284" s="378"/>
      <c r="L284" s="378"/>
      <c r="M284" s="378"/>
      <c r="N284" s="378"/>
      <c r="O284" s="378"/>
      <c r="P284" s="378"/>
      <c r="Q284" s="378"/>
      <c r="R284" s="378"/>
      <c r="S284" s="378"/>
      <c r="T284" s="378"/>
      <c r="U284" s="378"/>
      <c r="V284" s="378"/>
      <c r="W284" s="378"/>
      <c r="X284" s="378"/>
    </row>
    <row r="285" spans="2:24" s="359" customFormat="1" ht="20.100000000000001" customHeight="1">
      <c r="B285" s="378"/>
      <c r="C285" s="378"/>
      <c r="D285" s="378"/>
      <c r="E285" s="378"/>
      <c r="F285" s="378"/>
      <c r="G285" s="378"/>
      <c r="H285" s="378"/>
      <c r="I285" s="378"/>
      <c r="J285" s="378"/>
      <c r="K285" s="378"/>
      <c r="L285" s="378"/>
      <c r="M285" s="378"/>
      <c r="N285" s="378"/>
      <c r="O285" s="378"/>
      <c r="P285" s="378"/>
      <c r="Q285" s="378"/>
      <c r="R285" s="378"/>
      <c r="S285" s="378"/>
      <c r="T285" s="378"/>
      <c r="U285" s="378"/>
      <c r="V285" s="378"/>
      <c r="W285" s="378"/>
      <c r="X285" s="378"/>
    </row>
    <row r="286" spans="2:24" s="359" customFormat="1" ht="20.100000000000001" customHeight="1">
      <c r="B286" s="378"/>
      <c r="C286" s="378"/>
      <c r="D286" s="378"/>
      <c r="E286" s="378"/>
      <c r="F286" s="378"/>
      <c r="G286" s="378"/>
      <c r="H286" s="378"/>
      <c r="I286" s="378"/>
      <c r="J286" s="378"/>
      <c r="K286" s="378"/>
      <c r="L286" s="378"/>
      <c r="M286" s="378"/>
      <c r="N286" s="378"/>
      <c r="O286" s="378"/>
      <c r="P286" s="378"/>
      <c r="Q286" s="378"/>
      <c r="R286" s="378"/>
      <c r="S286" s="378"/>
      <c r="T286" s="378"/>
      <c r="U286" s="378"/>
      <c r="V286" s="378"/>
      <c r="W286" s="378"/>
      <c r="X286" s="378"/>
    </row>
    <row r="287" spans="2:24" s="359" customFormat="1" ht="20.100000000000001" customHeight="1">
      <c r="B287" s="378"/>
      <c r="C287" s="378"/>
      <c r="D287" s="378"/>
      <c r="E287" s="378"/>
      <c r="F287" s="378"/>
      <c r="G287" s="378"/>
      <c r="H287" s="378"/>
      <c r="I287" s="378"/>
      <c r="J287" s="378"/>
      <c r="K287" s="378"/>
      <c r="L287" s="378"/>
      <c r="M287" s="378"/>
      <c r="N287" s="378"/>
      <c r="O287" s="378"/>
      <c r="P287" s="378"/>
      <c r="Q287" s="378"/>
      <c r="R287" s="378"/>
      <c r="S287" s="378"/>
      <c r="T287" s="378"/>
      <c r="U287" s="378"/>
      <c r="V287" s="378"/>
      <c r="W287" s="378"/>
      <c r="X287" s="378"/>
    </row>
    <row r="288" spans="2:24" s="359" customFormat="1" ht="20.100000000000001" customHeight="1">
      <c r="B288" s="378"/>
      <c r="C288" s="378"/>
      <c r="D288" s="378"/>
      <c r="E288" s="378"/>
      <c r="F288" s="378"/>
      <c r="G288" s="378"/>
      <c r="H288" s="378"/>
      <c r="I288" s="378"/>
      <c r="J288" s="378"/>
      <c r="K288" s="378"/>
      <c r="L288" s="378"/>
      <c r="M288" s="378"/>
      <c r="N288" s="378"/>
      <c r="O288" s="378"/>
      <c r="P288" s="378"/>
      <c r="Q288" s="378"/>
      <c r="R288" s="378"/>
      <c r="S288" s="378"/>
      <c r="T288" s="378"/>
      <c r="U288" s="378"/>
      <c r="V288" s="378"/>
      <c r="W288" s="378"/>
      <c r="X288" s="378"/>
    </row>
    <row r="289" spans="2:24" s="359" customFormat="1" ht="20.100000000000001" customHeight="1">
      <c r="B289" s="378"/>
      <c r="C289" s="378"/>
      <c r="D289" s="378"/>
      <c r="E289" s="378"/>
      <c r="F289" s="378"/>
      <c r="G289" s="378"/>
      <c r="H289" s="378"/>
      <c r="I289" s="378"/>
      <c r="J289" s="378"/>
      <c r="K289" s="378"/>
      <c r="L289" s="378"/>
      <c r="M289" s="378"/>
      <c r="N289" s="378"/>
      <c r="O289" s="378"/>
      <c r="P289" s="378"/>
      <c r="Q289" s="378"/>
      <c r="R289" s="378"/>
      <c r="S289" s="378"/>
      <c r="T289" s="378"/>
      <c r="U289" s="378"/>
      <c r="V289" s="378"/>
      <c r="W289" s="378"/>
      <c r="X289" s="378"/>
    </row>
    <row r="290" spans="2:24" s="359" customFormat="1" ht="20.100000000000001" customHeight="1">
      <c r="B290" s="378"/>
      <c r="C290" s="378"/>
      <c r="D290" s="378"/>
      <c r="E290" s="378"/>
      <c r="F290" s="378"/>
      <c r="G290" s="378"/>
      <c r="H290" s="378"/>
      <c r="I290" s="378"/>
      <c r="J290" s="378"/>
      <c r="K290" s="378"/>
      <c r="L290" s="378"/>
      <c r="M290" s="378"/>
      <c r="N290" s="378"/>
      <c r="O290" s="378"/>
      <c r="P290" s="378"/>
      <c r="Q290" s="378"/>
      <c r="R290" s="378"/>
      <c r="S290" s="378"/>
      <c r="T290" s="378"/>
      <c r="U290" s="378"/>
      <c r="V290" s="378"/>
      <c r="W290" s="378"/>
      <c r="X290" s="378"/>
    </row>
    <row r="291" spans="2:24" s="359" customFormat="1" ht="20.100000000000001" customHeight="1">
      <c r="B291" s="378"/>
      <c r="C291" s="378"/>
      <c r="D291" s="378"/>
      <c r="E291" s="378"/>
      <c r="F291" s="378"/>
      <c r="G291" s="378"/>
      <c r="H291" s="378"/>
      <c r="I291" s="378"/>
      <c r="J291" s="378"/>
      <c r="K291" s="378"/>
      <c r="L291" s="378"/>
      <c r="M291" s="378"/>
      <c r="N291" s="378"/>
      <c r="O291" s="378"/>
      <c r="P291" s="378"/>
      <c r="Q291" s="378"/>
      <c r="R291" s="378"/>
      <c r="S291" s="378"/>
      <c r="T291" s="378"/>
      <c r="U291" s="378"/>
      <c r="V291" s="378"/>
      <c r="W291" s="378"/>
      <c r="X291" s="378"/>
    </row>
    <row r="292" spans="2:24" s="359" customFormat="1" ht="20.100000000000001" customHeight="1">
      <c r="B292" s="378"/>
      <c r="C292" s="378"/>
      <c r="D292" s="378"/>
      <c r="E292" s="378"/>
      <c r="F292" s="378"/>
      <c r="G292" s="378"/>
      <c r="H292" s="378"/>
      <c r="I292" s="378"/>
      <c r="J292" s="378"/>
      <c r="K292" s="378"/>
      <c r="L292" s="378"/>
      <c r="M292" s="378"/>
      <c r="N292" s="378"/>
      <c r="O292" s="378"/>
      <c r="P292" s="378"/>
      <c r="Q292" s="378"/>
      <c r="R292" s="378"/>
      <c r="S292" s="378"/>
      <c r="T292" s="378"/>
      <c r="U292" s="378"/>
      <c r="V292" s="378"/>
      <c r="W292" s="378"/>
      <c r="X292" s="378"/>
    </row>
    <row r="293" spans="2:24" s="359" customFormat="1" ht="20.100000000000001" customHeight="1">
      <c r="B293" s="378"/>
      <c r="C293" s="378"/>
      <c r="D293" s="378"/>
      <c r="E293" s="378"/>
      <c r="F293" s="378"/>
      <c r="G293" s="378"/>
      <c r="H293" s="378"/>
      <c r="I293" s="378"/>
      <c r="J293" s="378"/>
      <c r="K293" s="378"/>
      <c r="L293" s="378"/>
      <c r="M293" s="378"/>
      <c r="N293" s="378"/>
      <c r="O293" s="378"/>
      <c r="P293" s="378"/>
      <c r="Q293" s="378"/>
      <c r="R293" s="378"/>
      <c r="S293" s="378"/>
      <c r="T293" s="378"/>
      <c r="U293" s="378"/>
      <c r="V293" s="378"/>
      <c r="W293" s="378"/>
      <c r="X293" s="378"/>
    </row>
    <row r="294" spans="2:24" s="359" customFormat="1" ht="20.100000000000001" customHeight="1">
      <c r="B294" s="378"/>
      <c r="C294" s="378"/>
      <c r="D294" s="378"/>
      <c r="E294" s="378"/>
      <c r="F294" s="378"/>
      <c r="G294" s="378"/>
      <c r="H294" s="378"/>
      <c r="I294" s="378"/>
      <c r="J294" s="378"/>
      <c r="K294" s="378"/>
      <c r="L294" s="378"/>
      <c r="M294" s="378"/>
      <c r="N294" s="378"/>
      <c r="O294" s="378"/>
      <c r="P294" s="378"/>
      <c r="Q294" s="378"/>
      <c r="R294" s="378"/>
      <c r="S294" s="378"/>
      <c r="T294" s="378"/>
      <c r="U294" s="378"/>
      <c r="V294" s="378"/>
      <c r="W294" s="378"/>
      <c r="X294" s="378"/>
    </row>
    <row r="295" spans="2:24" s="359" customFormat="1" ht="20.100000000000001" customHeight="1">
      <c r="B295" s="378"/>
      <c r="C295" s="378"/>
      <c r="D295" s="378"/>
      <c r="E295" s="378"/>
      <c r="F295" s="378"/>
      <c r="G295" s="378"/>
      <c r="H295" s="378"/>
      <c r="I295" s="378"/>
      <c r="J295" s="378"/>
      <c r="K295" s="378"/>
      <c r="L295" s="378"/>
      <c r="M295" s="378"/>
      <c r="N295" s="378"/>
      <c r="O295" s="378"/>
      <c r="P295" s="378"/>
      <c r="Q295" s="378"/>
      <c r="R295" s="378"/>
      <c r="S295" s="378"/>
      <c r="T295" s="378"/>
      <c r="U295" s="378"/>
      <c r="V295" s="378"/>
      <c r="W295" s="378"/>
      <c r="X295" s="378"/>
    </row>
    <row r="296" spans="2:24" s="359" customFormat="1" ht="20.100000000000001" customHeight="1">
      <c r="B296" s="378"/>
      <c r="C296" s="378"/>
      <c r="D296" s="378"/>
      <c r="E296" s="378"/>
      <c r="F296" s="378"/>
      <c r="G296" s="378"/>
      <c r="H296" s="378"/>
      <c r="I296" s="378"/>
      <c r="J296" s="378"/>
      <c r="K296" s="378"/>
      <c r="L296" s="378"/>
      <c r="M296" s="378"/>
      <c r="N296" s="378"/>
      <c r="O296" s="378"/>
      <c r="P296" s="378"/>
      <c r="Q296" s="378"/>
      <c r="R296" s="378"/>
      <c r="S296" s="378"/>
      <c r="T296" s="378"/>
      <c r="U296" s="378"/>
      <c r="V296" s="378"/>
      <c r="W296" s="378"/>
      <c r="X296" s="378"/>
    </row>
    <row r="297" spans="2:24" s="359" customFormat="1" ht="20.100000000000001" customHeight="1">
      <c r="B297" s="378"/>
      <c r="C297" s="378"/>
      <c r="D297" s="378"/>
      <c r="E297" s="378"/>
      <c r="F297" s="378"/>
      <c r="G297" s="378"/>
      <c r="H297" s="378"/>
      <c r="I297" s="378"/>
      <c r="J297" s="378"/>
      <c r="K297" s="378"/>
      <c r="L297" s="378"/>
      <c r="M297" s="378"/>
      <c r="N297" s="378"/>
      <c r="O297" s="378"/>
      <c r="P297" s="378"/>
      <c r="Q297" s="378"/>
      <c r="R297" s="378"/>
      <c r="S297" s="378"/>
      <c r="T297" s="378"/>
      <c r="U297" s="378"/>
      <c r="V297" s="378"/>
      <c r="W297" s="378"/>
      <c r="X297" s="378"/>
    </row>
    <row r="298" spans="2:24" s="359" customFormat="1" ht="20.100000000000001" customHeight="1">
      <c r="B298" s="378"/>
      <c r="C298" s="378"/>
      <c r="D298" s="378"/>
      <c r="E298" s="378"/>
      <c r="F298" s="378"/>
      <c r="G298" s="378"/>
      <c r="H298" s="378"/>
      <c r="I298" s="378"/>
      <c r="J298" s="378"/>
      <c r="K298" s="378"/>
      <c r="L298" s="378"/>
      <c r="M298" s="378"/>
      <c r="N298" s="378"/>
      <c r="O298" s="378"/>
      <c r="P298" s="378"/>
      <c r="Q298" s="378"/>
      <c r="R298" s="378"/>
      <c r="S298" s="378"/>
      <c r="T298" s="378"/>
      <c r="U298" s="378"/>
      <c r="V298" s="378"/>
      <c r="W298" s="378"/>
      <c r="X298" s="378"/>
    </row>
    <row r="299" spans="2:24" s="359" customFormat="1" ht="20.100000000000001" customHeight="1">
      <c r="B299" s="378"/>
      <c r="C299" s="378"/>
      <c r="D299" s="378"/>
      <c r="E299" s="378"/>
      <c r="F299" s="378"/>
      <c r="G299" s="378"/>
      <c r="H299" s="378"/>
      <c r="I299" s="378"/>
      <c r="J299" s="378"/>
      <c r="K299" s="378"/>
      <c r="L299" s="378"/>
      <c r="M299" s="378"/>
      <c r="N299" s="378"/>
      <c r="O299" s="378"/>
      <c r="P299" s="378"/>
      <c r="Q299" s="378"/>
      <c r="R299" s="378"/>
      <c r="S299" s="378"/>
      <c r="T299" s="378"/>
      <c r="U299" s="378"/>
      <c r="V299" s="378"/>
      <c r="W299" s="378"/>
      <c r="X299" s="378"/>
    </row>
    <row r="300" spans="2:24" s="359" customFormat="1" ht="20.100000000000001" customHeight="1">
      <c r="B300" s="378"/>
      <c r="C300" s="378"/>
      <c r="D300" s="378"/>
      <c r="E300" s="378"/>
      <c r="F300" s="378"/>
      <c r="G300" s="378"/>
      <c r="H300" s="378"/>
      <c r="I300" s="378"/>
      <c r="J300" s="378"/>
      <c r="K300" s="378"/>
      <c r="L300" s="378"/>
      <c r="M300" s="378"/>
      <c r="N300" s="378"/>
      <c r="O300" s="378"/>
      <c r="P300" s="378"/>
      <c r="Q300" s="378"/>
      <c r="R300" s="378"/>
      <c r="S300" s="378"/>
      <c r="T300" s="378"/>
      <c r="U300" s="378"/>
      <c r="V300" s="378"/>
      <c r="W300" s="378"/>
      <c r="X300" s="378"/>
    </row>
    <row r="301" spans="2:24" s="359" customFormat="1" ht="20.100000000000001" customHeight="1">
      <c r="B301" s="378"/>
      <c r="C301" s="378"/>
      <c r="D301" s="378"/>
      <c r="E301" s="378"/>
      <c r="F301" s="378"/>
      <c r="G301" s="378"/>
      <c r="H301" s="378"/>
      <c r="I301" s="378"/>
      <c r="J301" s="378"/>
      <c r="K301" s="378"/>
      <c r="L301" s="378"/>
      <c r="M301" s="378"/>
      <c r="N301" s="378"/>
      <c r="O301" s="378"/>
      <c r="P301" s="378"/>
      <c r="Q301" s="378"/>
      <c r="R301" s="378"/>
      <c r="S301" s="378"/>
      <c r="T301" s="378"/>
      <c r="U301" s="378"/>
      <c r="V301" s="378"/>
      <c r="W301" s="378"/>
      <c r="X301" s="378"/>
    </row>
    <row r="302" spans="2:24" s="359" customFormat="1" ht="20.100000000000001" customHeight="1">
      <c r="B302" s="378"/>
      <c r="C302" s="378"/>
      <c r="D302" s="378"/>
      <c r="E302" s="378"/>
      <c r="F302" s="378"/>
      <c r="G302" s="378"/>
      <c r="H302" s="378"/>
      <c r="I302" s="378"/>
      <c r="J302" s="378"/>
      <c r="K302" s="378"/>
      <c r="L302" s="378"/>
      <c r="M302" s="378"/>
      <c r="N302" s="378"/>
      <c r="O302" s="378"/>
      <c r="P302" s="378"/>
      <c r="Q302" s="378"/>
      <c r="R302" s="378"/>
      <c r="S302" s="378"/>
      <c r="T302" s="378"/>
      <c r="U302" s="378"/>
      <c r="V302" s="378"/>
      <c r="W302" s="378"/>
      <c r="X302" s="378"/>
    </row>
    <row r="303" spans="2:24" ht="20.100000000000001" customHeight="1"/>
    <row r="304" spans="2:24" ht="10.15" customHeight="1"/>
    <row r="305" spans="2:24" ht="20.100000000000001" customHeight="1"/>
    <row r="306" spans="2:24" ht="20.100000000000001" customHeight="1"/>
    <row r="307" spans="2:24" ht="20.100000000000001" customHeight="1"/>
    <row r="308" spans="2:24" s="359" customFormat="1" ht="20.100000000000001" customHeight="1">
      <c r="B308" s="378"/>
      <c r="C308" s="378"/>
      <c r="D308" s="378"/>
      <c r="E308" s="378"/>
      <c r="F308" s="378"/>
      <c r="G308" s="378"/>
      <c r="H308" s="378"/>
      <c r="I308" s="378"/>
      <c r="J308" s="378"/>
      <c r="K308" s="378"/>
      <c r="L308" s="378"/>
      <c r="M308" s="378"/>
      <c r="N308" s="378"/>
      <c r="O308" s="378"/>
      <c r="P308" s="378"/>
      <c r="Q308" s="378"/>
      <c r="R308" s="378"/>
      <c r="S308" s="378"/>
      <c r="T308" s="378"/>
      <c r="U308" s="378"/>
      <c r="V308" s="378"/>
      <c r="W308" s="378"/>
      <c r="X308" s="378"/>
    </row>
    <row r="309" spans="2:24" s="359" customFormat="1" ht="20.100000000000001" customHeight="1">
      <c r="B309" s="378"/>
      <c r="C309" s="378"/>
      <c r="D309" s="378"/>
      <c r="E309" s="378"/>
      <c r="F309" s="378"/>
      <c r="G309" s="378"/>
      <c r="H309" s="378"/>
      <c r="I309" s="378"/>
      <c r="J309" s="378"/>
      <c r="K309" s="378"/>
      <c r="L309" s="378"/>
      <c r="M309" s="378"/>
      <c r="N309" s="378"/>
      <c r="O309" s="378"/>
      <c r="P309" s="378"/>
      <c r="Q309" s="378"/>
      <c r="R309" s="378"/>
      <c r="S309" s="378"/>
      <c r="T309" s="378"/>
      <c r="U309" s="378"/>
      <c r="V309" s="378"/>
      <c r="W309" s="378"/>
      <c r="X309" s="378"/>
    </row>
    <row r="310" spans="2:24" s="359" customFormat="1" ht="20.100000000000001" customHeight="1">
      <c r="B310" s="378"/>
      <c r="C310" s="378"/>
      <c r="D310" s="378"/>
      <c r="E310" s="378"/>
      <c r="F310" s="378"/>
      <c r="G310" s="378"/>
      <c r="H310" s="378"/>
      <c r="I310" s="378"/>
      <c r="J310" s="378"/>
      <c r="K310" s="378"/>
      <c r="L310" s="378"/>
      <c r="M310" s="378"/>
      <c r="N310" s="378"/>
      <c r="O310" s="378"/>
      <c r="P310" s="378"/>
      <c r="Q310" s="378"/>
      <c r="R310" s="378"/>
      <c r="S310" s="378"/>
      <c r="T310" s="378"/>
      <c r="U310" s="378"/>
      <c r="V310" s="378"/>
      <c r="W310" s="378"/>
      <c r="X310" s="378"/>
    </row>
    <row r="311" spans="2:24" s="359" customFormat="1" ht="20.100000000000001" customHeight="1">
      <c r="B311" s="378"/>
      <c r="C311" s="378"/>
      <c r="D311" s="378"/>
      <c r="E311" s="378"/>
      <c r="F311" s="378"/>
      <c r="G311" s="378"/>
      <c r="H311" s="378"/>
      <c r="I311" s="378"/>
      <c r="J311" s="378"/>
      <c r="K311" s="378"/>
      <c r="L311" s="378"/>
      <c r="M311" s="378"/>
      <c r="N311" s="378"/>
      <c r="O311" s="378"/>
      <c r="P311" s="378"/>
      <c r="Q311" s="378"/>
      <c r="R311" s="378"/>
      <c r="S311" s="378"/>
      <c r="T311" s="378"/>
      <c r="U311" s="378"/>
      <c r="V311" s="378"/>
      <c r="W311" s="378"/>
      <c r="X311" s="378"/>
    </row>
    <row r="312" spans="2:24" s="359" customFormat="1" ht="20.100000000000001" customHeight="1">
      <c r="B312" s="378"/>
      <c r="C312" s="378"/>
      <c r="D312" s="378"/>
      <c r="E312" s="378"/>
      <c r="F312" s="378"/>
      <c r="G312" s="378"/>
      <c r="H312" s="378"/>
      <c r="I312" s="378"/>
      <c r="J312" s="378"/>
      <c r="K312" s="378"/>
      <c r="L312" s="378"/>
      <c r="M312" s="378"/>
      <c r="N312" s="378"/>
      <c r="O312" s="378"/>
      <c r="P312" s="378"/>
      <c r="Q312" s="378"/>
      <c r="R312" s="378"/>
      <c r="S312" s="378"/>
      <c r="T312" s="378"/>
      <c r="U312" s="378"/>
      <c r="V312" s="378"/>
      <c r="W312" s="378"/>
      <c r="X312" s="378"/>
    </row>
    <row r="313" spans="2:24" s="359" customFormat="1" ht="20.100000000000001" customHeight="1">
      <c r="B313" s="378"/>
      <c r="C313" s="378"/>
      <c r="D313" s="378"/>
      <c r="E313" s="378"/>
      <c r="F313" s="378"/>
      <c r="G313" s="378"/>
      <c r="H313" s="378"/>
      <c r="I313" s="378"/>
      <c r="J313" s="378"/>
      <c r="K313" s="378"/>
      <c r="L313" s="378"/>
      <c r="M313" s="378"/>
      <c r="N313" s="378"/>
      <c r="O313" s="378"/>
      <c r="P313" s="378"/>
      <c r="Q313" s="378"/>
      <c r="R313" s="378"/>
      <c r="S313" s="378"/>
      <c r="T313" s="378"/>
      <c r="U313" s="378"/>
      <c r="V313" s="378"/>
      <c r="W313" s="378"/>
      <c r="X313" s="378"/>
    </row>
    <row r="314" spans="2:24" s="359" customFormat="1" ht="20.100000000000001" customHeight="1">
      <c r="B314" s="378"/>
      <c r="C314" s="378"/>
      <c r="D314" s="378"/>
      <c r="E314" s="378"/>
      <c r="F314" s="378"/>
      <c r="G314" s="378"/>
      <c r="H314" s="378"/>
      <c r="I314" s="378"/>
      <c r="J314" s="378"/>
      <c r="K314" s="378"/>
      <c r="L314" s="378"/>
      <c r="M314" s="378"/>
      <c r="N314" s="378"/>
      <c r="O314" s="378"/>
      <c r="P314" s="378"/>
      <c r="Q314" s="378"/>
      <c r="R314" s="378"/>
      <c r="S314" s="378"/>
      <c r="T314" s="378"/>
      <c r="U314" s="378"/>
      <c r="V314" s="378"/>
      <c r="W314" s="378"/>
      <c r="X314" s="378"/>
    </row>
    <row r="315" spans="2:24" s="359" customFormat="1" ht="20.100000000000001" customHeight="1">
      <c r="B315" s="378"/>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row>
    <row r="316" spans="2:24" s="359" customFormat="1" ht="20.100000000000001" customHeight="1">
      <c r="B316" s="378"/>
      <c r="C316" s="378"/>
      <c r="D316" s="378"/>
      <c r="E316" s="378"/>
      <c r="F316" s="378"/>
      <c r="G316" s="378"/>
      <c r="H316" s="378"/>
      <c r="I316" s="378"/>
      <c r="J316" s="378"/>
      <c r="K316" s="378"/>
      <c r="L316" s="378"/>
      <c r="M316" s="378"/>
      <c r="N316" s="378"/>
      <c r="O316" s="378"/>
      <c r="P316" s="378"/>
      <c r="Q316" s="378"/>
      <c r="R316" s="378"/>
      <c r="S316" s="378"/>
      <c r="T316" s="378"/>
      <c r="U316" s="378"/>
      <c r="V316" s="378"/>
      <c r="W316" s="378"/>
      <c r="X316" s="378"/>
    </row>
    <row r="317" spans="2:24" s="359" customFormat="1" ht="20.100000000000001" customHeight="1">
      <c r="B317" s="378"/>
      <c r="C317" s="378"/>
      <c r="D317" s="378"/>
      <c r="E317" s="378"/>
      <c r="F317" s="378"/>
      <c r="G317" s="378"/>
      <c r="H317" s="378"/>
      <c r="I317" s="378"/>
      <c r="J317" s="378"/>
      <c r="K317" s="378"/>
      <c r="L317" s="378"/>
      <c r="M317" s="378"/>
      <c r="N317" s="378"/>
      <c r="O317" s="378"/>
      <c r="P317" s="378"/>
      <c r="Q317" s="378"/>
      <c r="R317" s="378"/>
      <c r="S317" s="378"/>
      <c r="T317" s="378"/>
      <c r="U317" s="378"/>
      <c r="V317" s="378"/>
      <c r="W317" s="378"/>
      <c r="X317" s="378"/>
    </row>
    <row r="318" spans="2:24" s="359" customFormat="1" ht="20.100000000000001" customHeight="1">
      <c r="B318" s="378"/>
      <c r="C318" s="378"/>
      <c r="D318" s="378"/>
      <c r="E318" s="378"/>
      <c r="F318" s="378"/>
      <c r="G318" s="378"/>
      <c r="H318" s="378"/>
      <c r="I318" s="378"/>
      <c r="J318" s="378"/>
      <c r="K318" s="378"/>
      <c r="L318" s="378"/>
      <c r="M318" s="378"/>
      <c r="N318" s="378"/>
      <c r="O318" s="378"/>
      <c r="P318" s="378"/>
      <c r="Q318" s="378"/>
      <c r="R318" s="378"/>
      <c r="S318" s="378"/>
      <c r="T318" s="378"/>
      <c r="U318" s="378"/>
      <c r="V318" s="378"/>
      <c r="W318" s="378"/>
      <c r="X318" s="378"/>
    </row>
    <row r="319" spans="2:24" s="359" customFormat="1" ht="20.100000000000001" customHeight="1">
      <c r="B319" s="378"/>
      <c r="C319" s="378"/>
      <c r="D319" s="378"/>
      <c r="E319" s="378"/>
      <c r="F319" s="378"/>
      <c r="G319" s="378"/>
      <c r="H319" s="378"/>
      <c r="I319" s="378"/>
      <c r="J319" s="378"/>
      <c r="K319" s="378"/>
      <c r="L319" s="378"/>
      <c r="M319" s="378"/>
      <c r="N319" s="378"/>
      <c r="O319" s="378"/>
      <c r="P319" s="378"/>
      <c r="Q319" s="378"/>
      <c r="R319" s="378"/>
      <c r="S319" s="378"/>
      <c r="T319" s="378"/>
      <c r="U319" s="378"/>
      <c r="V319" s="378"/>
      <c r="W319" s="378"/>
      <c r="X319" s="378"/>
    </row>
    <row r="320" spans="2:24" s="359" customFormat="1" ht="20.100000000000001" customHeight="1">
      <c r="B320" s="378"/>
      <c r="C320" s="378"/>
      <c r="D320" s="378"/>
      <c r="E320" s="378"/>
      <c r="F320" s="378"/>
      <c r="G320" s="378"/>
      <c r="H320" s="378"/>
      <c r="I320" s="378"/>
      <c r="J320" s="378"/>
      <c r="K320" s="378"/>
      <c r="L320" s="378"/>
      <c r="M320" s="378"/>
      <c r="N320" s="378"/>
      <c r="O320" s="378"/>
      <c r="P320" s="378"/>
      <c r="Q320" s="378"/>
      <c r="R320" s="378"/>
      <c r="S320" s="378"/>
      <c r="T320" s="378"/>
      <c r="U320" s="378"/>
      <c r="V320" s="378"/>
      <c r="W320" s="378"/>
      <c r="X320" s="378"/>
    </row>
    <row r="321" spans="2:24" s="359" customFormat="1" ht="20.100000000000001" customHeight="1">
      <c r="B321" s="378"/>
      <c r="C321" s="378"/>
      <c r="D321" s="378"/>
      <c r="E321" s="378"/>
      <c r="F321" s="378"/>
      <c r="G321" s="378"/>
      <c r="H321" s="378"/>
      <c r="I321" s="378"/>
      <c r="J321" s="378"/>
      <c r="K321" s="378"/>
      <c r="L321" s="378"/>
      <c r="M321" s="378"/>
      <c r="N321" s="378"/>
      <c r="O321" s="378"/>
      <c r="P321" s="378"/>
      <c r="Q321" s="378"/>
      <c r="R321" s="378"/>
      <c r="S321" s="378"/>
      <c r="T321" s="378"/>
      <c r="U321" s="378"/>
      <c r="V321" s="378"/>
      <c r="W321" s="378"/>
      <c r="X321" s="378"/>
    </row>
    <row r="322" spans="2:24" s="359" customFormat="1" ht="20.100000000000001" customHeight="1">
      <c r="B322" s="378"/>
      <c r="C322" s="378"/>
      <c r="D322" s="378"/>
      <c r="E322" s="378"/>
      <c r="F322" s="378"/>
      <c r="G322" s="378"/>
      <c r="H322" s="378"/>
      <c r="I322" s="378"/>
      <c r="J322" s="378"/>
      <c r="K322" s="378"/>
      <c r="L322" s="378"/>
      <c r="M322" s="378"/>
      <c r="N322" s="378"/>
      <c r="O322" s="378"/>
      <c r="P322" s="378"/>
      <c r="Q322" s="378"/>
      <c r="R322" s="378"/>
      <c r="S322" s="378"/>
      <c r="T322" s="378"/>
      <c r="U322" s="378"/>
      <c r="V322" s="378"/>
      <c r="W322" s="378"/>
      <c r="X322" s="378"/>
    </row>
    <row r="323" spans="2:24" s="359" customFormat="1" ht="20.100000000000001" customHeight="1">
      <c r="B323" s="378"/>
      <c r="C323" s="378"/>
      <c r="D323" s="378"/>
      <c r="E323" s="378"/>
      <c r="F323" s="378"/>
      <c r="G323" s="378"/>
      <c r="H323" s="378"/>
      <c r="I323" s="378"/>
      <c r="J323" s="378"/>
      <c r="K323" s="378"/>
      <c r="L323" s="378"/>
      <c r="M323" s="378"/>
      <c r="N323" s="378"/>
      <c r="O323" s="378"/>
      <c r="P323" s="378"/>
      <c r="Q323" s="378"/>
      <c r="R323" s="378"/>
      <c r="S323" s="378"/>
      <c r="T323" s="378"/>
      <c r="U323" s="378"/>
      <c r="V323" s="378"/>
      <c r="W323" s="378"/>
      <c r="X323" s="378"/>
    </row>
    <row r="324" spans="2:24" s="359" customFormat="1" ht="20.100000000000001" customHeight="1">
      <c r="B324" s="378"/>
      <c r="C324" s="378"/>
      <c r="D324" s="378"/>
      <c r="E324" s="378"/>
      <c r="F324" s="378"/>
      <c r="G324" s="378"/>
      <c r="H324" s="378"/>
      <c r="I324" s="378"/>
      <c r="J324" s="378"/>
      <c r="K324" s="378"/>
      <c r="L324" s="378"/>
      <c r="M324" s="378"/>
      <c r="N324" s="378"/>
      <c r="O324" s="378"/>
      <c r="P324" s="378"/>
      <c r="Q324" s="378"/>
      <c r="R324" s="378"/>
      <c r="S324" s="378"/>
      <c r="T324" s="378"/>
      <c r="U324" s="378"/>
      <c r="V324" s="378"/>
      <c r="W324" s="378"/>
      <c r="X324" s="378"/>
    </row>
    <row r="325" spans="2:24" s="359" customFormat="1" ht="20.100000000000001" customHeight="1">
      <c r="B325" s="378"/>
      <c r="C325" s="378"/>
      <c r="D325" s="378"/>
      <c r="E325" s="378"/>
      <c r="F325" s="378"/>
      <c r="G325" s="378"/>
      <c r="H325" s="378"/>
      <c r="I325" s="378"/>
      <c r="J325" s="378"/>
      <c r="K325" s="378"/>
      <c r="L325" s="378"/>
      <c r="M325" s="378"/>
      <c r="N325" s="378"/>
      <c r="O325" s="378"/>
      <c r="P325" s="378"/>
      <c r="Q325" s="378"/>
      <c r="R325" s="378"/>
      <c r="S325" s="378"/>
      <c r="T325" s="378"/>
      <c r="U325" s="378"/>
      <c r="V325" s="378"/>
      <c r="W325" s="378"/>
      <c r="X325" s="378"/>
    </row>
    <row r="326" spans="2:24" s="359" customFormat="1" ht="20.100000000000001" customHeight="1">
      <c r="B326" s="378"/>
      <c r="C326" s="378"/>
      <c r="D326" s="378"/>
      <c r="E326" s="378"/>
      <c r="F326" s="378"/>
      <c r="G326" s="378"/>
      <c r="H326" s="378"/>
      <c r="I326" s="378"/>
      <c r="J326" s="378"/>
      <c r="K326" s="378"/>
      <c r="L326" s="378"/>
      <c r="M326" s="378"/>
      <c r="N326" s="378"/>
      <c r="O326" s="378"/>
      <c r="P326" s="378"/>
      <c r="Q326" s="378"/>
      <c r="R326" s="378"/>
      <c r="S326" s="378"/>
      <c r="T326" s="378"/>
      <c r="U326" s="378"/>
      <c r="V326" s="378"/>
      <c r="W326" s="378"/>
      <c r="X326" s="378"/>
    </row>
    <row r="327" spans="2:24" s="359" customFormat="1" ht="20.100000000000001" customHeight="1">
      <c r="B327" s="378"/>
      <c r="C327" s="378"/>
      <c r="D327" s="378"/>
      <c r="E327" s="378"/>
      <c r="F327" s="378"/>
      <c r="G327" s="378"/>
      <c r="H327" s="378"/>
      <c r="I327" s="378"/>
      <c r="J327" s="378"/>
      <c r="K327" s="378"/>
      <c r="L327" s="378"/>
      <c r="M327" s="378"/>
      <c r="N327" s="378"/>
      <c r="O327" s="378"/>
      <c r="P327" s="378"/>
      <c r="Q327" s="378"/>
      <c r="R327" s="378"/>
      <c r="S327" s="378"/>
      <c r="T327" s="378"/>
      <c r="U327" s="378"/>
      <c r="V327" s="378"/>
      <c r="W327" s="378"/>
      <c r="X327" s="378"/>
    </row>
    <row r="328" spans="2:24" s="359" customFormat="1" ht="20.100000000000001" customHeight="1">
      <c r="B328" s="378"/>
      <c r="C328" s="378"/>
      <c r="D328" s="378"/>
      <c r="E328" s="378"/>
      <c r="F328" s="378"/>
      <c r="G328" s="378"/>
      <c r="H328" s="378"/>
      <c r="I328" s="378"/>
      <c r="J328" s="378"/>
      <c r="K328" s="378"/>
      <c r="L328" s="378"/>
      <c r="M328" s="378"/>
      <c r="N328" s="378"/>
      <c r="O328" s="378"/>
      <c r="P328" s="378"/>
      <c r="Q328" s="378"/>
      <c r="R328" s="378"/>
      <c r="S328" s="378"/>
      <c r="T328" s="378"/>
      <c r="U328" s="378"/>
      <c r="V328" s="378"/>
      <c r="W328" s="378"/>
      <c r="X328" s="378"/>
    </row>
    <row r="329" spans="2:24" s="359" customFormat="1" ht="20.100000000000001" customHeight="1">
      <c r="B329" s="378"/>
      <c r="C329" s="378"/>
      <c r="D329" s="378"/>
      <c r="E329" s="378"/>
      <c r="F329" s="378"/>
      <c r="G329" s="378"/>
      <c r="H329" s="378"/>
      <c r="I329" s="378"/>
      <c r="J329" s="378"/>
      <c r="K329" s="378"/>
      <c r="L329" s="378"/>
      <c r="M329" s="378"/>
      <c r="N329" s="378"/>
      <c r="O329" s="378"/>
      <c r="P329" s="378"/>
      <c r="Q329" s="378"/>
      <c r="R329" s="378"/>
      <c r="S329" s="378"/>
      <c r="T329" s="378"/>
      <c r="U329" s="378"/>
      <c r="V329" s="378"/>
      <c r="W329" s="378"/>
      <c r="X329" s="378"/>
    </row>
    <row r="330" spans="2:24" s="359" customFormat="1" ht="20.100000000000001" customHeight="1">
      <c r="B330" s="378"/>
      <c r="C330" s="378"/>
      <c r="D330" s="378"/>
      <c r="E330" s="378"/>
      <c r="F330" s="378"/>
      <c r="G330" s="378"/>
      <c r="H330" s="378"/>
      <c r="I330" s="378"/>
      <c r="J330" s="378"/>
      <c r="K330" s="378"/>
      <c r="L330" s="378"/>
      <c r="M330" s="378"/>
      <c r="N330" s="378"/>
      <c r="O330" s="378"/>
      <c r="P330" s="378"/>
      <c r="Q330" s="378"/>
      <c r="R330" s="378"/>
      <c r="S330" s="378"/>
      <c r="T330" s="378"/>
      <c r="U330" s="378"/>
      <c r="V330" s="378"/>
      <c r="W330" s="378"/>
      <c r="X330" s="378"/>
    </row>
    <row r="331" spans="2:24" s="359" customFormat="1" ht="20.100000000000001" customHeight="1">
      <c r="B331" s="378"/>
      <c r="C331" s="378"/>
      <c r="D331" s="378"/>
      <c r="E331" s="378"/>
      <c r="F331" s="378"/>
      <c r="G331" s="378"/>
      <c r="H331" s="378"/>
      <c r="I331" s="378"/>
      <c r="J331" s="378"/>
      <c r="K331" s="378"/>
      <c r="L331" s="378"/>
      <c r="M331" s="378"/>
      <c r="N331" s="378"/>
      <c r="O331" s="378"/>
      <c r="P331" s="378"/>
      <c r="Q331" s="378"/>
      <c r="R331" s="378"/>
      <c r="S331" s="378"/>
      <c r="T331" s="378"/>
      <c r="U331" s="378"/>
      <c r="V331" s="378"/>
      <c r="W331" s="378"/>
      <c r="X331" s="378"/>
    </row>
    <row r="332" spans="2:24" s="359" customFormat="1" ht="20.100000000000001" customHeight="1">
      <c r="B332" s="378"/>
      <c r="C332" s="378"/>
      <c r="D332" s="378"/>
      <c r="E332" s="378"/>
      <c r="F332" s="378"/>
      <c r="G332" s="378"/>
      <c r="H332" s="378"/>
      <c r="I332" s="378"/>
      <c r="J332" s="378"/>
      <c r="K332" s="378"/>
      <c r="L332" s="378"/>
      <c r="M332" s="378"/>
      <c r="N332" s="378"/>
      <c r="O332" s="378"/>
      <c r="P332" s="378"/>
      <c r="Q332" s="378"/>
      <c r="R332" s="378"/>
      <c r="S332" s="378"/>
      <c r="T332" s="378"/>
      <c r="U332" s="378"/>
      <c r="V332" s="378"/>
      <c r="W332" s="378"/>
      <c r="X332" s="378"/>
    </row>
    <row r="333" spans="2:24" s="359" customFormat="1" ht="20.100000000000001" customHeight="1">
      <c r="B333" s="378"/>
      <c r="C333" s="378"/>
      <c r="D333" s="378"/>
      <c r="E333" s="378"/>
      <c r="F333" s="378"/>
      <c r="G333" s="378"/>
      <c r="H333" s="378"/>
      <c r="I333" s="378"/>
      <c r="J333" s="378"/>
      <c r="K333" s="378"/>
      <c r="L333" s="378"/>
      <c r="M333" s="378"/>
      <c r="N333" s="378"/>
      <c r="O333" s="378"/>
      <c r="P333" s="378"/>
      <c r="Q333" s="378"/>
      <c r="R333" s="378"/>
      <c r="S333" s="378"/>
      <c r="T333" s="378"/>
      <c r="U333" s="378"/>
      <c r="V333" s="378"/>
      <c r="W333" s="378"/>
      <c r="X333" s="378"/>
    </row>
    <row r="334" spans="2:24" s="359" customFormat="1" ht="20.100000000000001" customHeight="1">
      <c r="B334" s="378"/>
      <c r="C334" s="378"/>
      <c r="D334" s="378"/>
      <c r="E334" s="378"/>
      <c r="F334" s="378"/>
      <c r="G334" s="378"/>
      <c r="H334" s="378"/>
      <c r="I334" s="378"/>
      <c r="J334" s="378"/>
      <c r="K334" s="378"/>
      <c r="L334" s="378"/>
      <c r="M334" s="378"/>
      <c r="N334" s="378"/>
      <c r="O334" s="378"/>
      <c r="P334" s="378"/>
      <c r="Q334" s="378"/>
      <c r="R334" s="378"/>
      <c r="S334" s="378"/>
      <c r="T334" s="378"/>
      <c r="U334" s="378"/>
      <c r="V334" s="378"/>
      <c r="W334" s="378"/>
      <c r="X334" s="378"/>
    </row>
    <row r="335" spans="2:24" s="359" customFormat="1" ht="20.100000000000001" customHeight="1">
      <c r="B335" s="378"/>
      <c r="C335" s="378"/>
      <c r="D335" s="378"/>
      <c r="E335" s="378"/>
      <c r="F335" s="378"/>
      <c r="G335" s="378"/>
      <c r="H335" s="378"/>
      <c r="I335" s="378"/>
      <c r="J335" s="378"/>
      <c r="K335" s="378"/>
      <c r="L335" s="378"/>
      <c r="M335" s="378"/>
      <c r="N335" s="378"/>
      <c r="O335" s="378"/>
      <c r="P335" s="378"/>
      <c r="Q335" s="378"/>
      <c r="R335" s="378"/>
      <c r="S335" s="378"/>
      <c r="T335" s="378"/>
      <c r="U335" s="378"/>
      <c r="V335" s="378"/>
      <c r="W335" s="378"/>
      <c r="X335" s="378"/>
    </row>
    <row r="336" spans="2:24" s="359" customFormat="1" ht="20.100000000000001" customHeight="1">
      <c r="B336" s="378"/>
      <c r="C336" s="378"/>
      <c r="D336" s="378"/>
      <c r="E336" s="378"/>
      <c r="F336" s="378"/>
      <c r="G336" s="378"/>
      <c r="H336" s="378"/>
      <c r="I336" s="378"/>
      <c r="J336" s="378"/>
      <c r="K336" s="378"/>
      <c r="L336" s="378"/>
      <c r="M336" s="378"/>
      <c r="N336" s="378"/>
      <c r="O336" s="378"/>
      <c r="P336" s="378"/>
      <c r="Q336" s="378"/>
      <c r="R336" s="378"/>
      <c r="S336" s="378"/>
      <c r="T336" s="378"/>
      <c r="U336" s="378"/>
      <c r="V336" s="378"/>
      <c r="W336" s="378"/>
      <c r="X336" s="378"/>
    </row>
    <row r="337" spans="2:24" s="359" customFormat="1" ht="20.100000000000001" customHeight="1">
      <c r="B337" s="378"/>
      <c r="C337" s="378"/>
      <c r="D337" s="378"/>
      <c r="E337" s="378"/>
      <c r="F337" s="378"/>
      <c r="G337" s="378"/>
      <c r="H337" s="378"/>
      <c r="I337" s="378"/>
      <c r="J337" s="378"/>
      <c r="K337" s="378"/>
      <c r="L337" s="378"/>
      <c r="M337" s="378"/>
      <c r="N337" s="378"/>
      <c r="O337" s="378"/>
      <c r="P337" s="378"/>
      <c r="Q337" s="378"/>
      <c r="R337" s="378"/>
      <c r="S337" s="378"/>
      <c r="T337" s="378"/>
      <c r="U337" s="378"/>
      <c r="V337" s="378"/>
      <c r="W337" s="378"/>
      <c r="X337" s="378"/>
    </row>
    <row r="338" spans="2:24" s="359" customFormat="1" ht="20.100000000000001" customHeight="1">
      <c r="B338" s="378"/>
      <c r="C338" s="378"/>
      <c r="D338" s="378"/>
      <c r="E338" s="378"/>
      <c r="F338" s="378"/>
      <c r="G338" s="378"/>
      <c r="H338" s="378"/>
      <c r="I338" s="378"/>
      <c r="J338" s="378"/>
      <c r="K338" s="378"/>
      <c r="L338" s="378"/>
      <c r="M338" s="378"/>
      <c r="N338" s="378"/>
      <c r="O338" s="378"/>
      <c r="P338" s="378"/>
      <c r="Q338" s="378"/>
      <c r="R338" s="378"/>
      <c r="S338" s="378"/>
      <c r="T338" s="378"/>
      <c r="U338" s="378"/>
      <c r="V338" s="378"/>
      <c r="W338" s="378"/>
      <c r="X338" s="378"/>
    </row>
    <row r="339" spans="2:24" s="359" customFormat="1" ht="20.100000000000001" customHeight="1">
      <c r="B339" s="378"/>
      <c r="C339" s="378"/>
      <c r="D339" s="378"/>
      <c r="E339" s="378"/>
      <c r="F339" s="378"/>
      <c r="G339" s="378"/>
      <c r="H339" s="378"/>
      <c r="I339" s="378"/>
      <c r="J339" s="378"/>
      <c r="K339" s="378"/>
      <c r="L339" s="378"/>
      <c r="M339" s="378"/>
      <c r="N339" s="378"/>
      <c r="O339" s="378"/>
      <c r="P339" s="378"/>
      <c r="Q339" s="378"/>
      <c r="R339" s="378"/>
      <c r="S339" s="378"/>
      <c r="T339" s="378"/>
      <c r="U339" s="378"/>
      <c r="V339" s="378"/>
      <c r="W339" s="378"/>
      <c r="X339" s="378"/>
    </row>
    <row r="340" spans="2:24" s="359" customFormat="1" ht="20.100000000000001" customHeight="1">
      <c r="B340" s="378"/>
      <c r="C340" s="378"/>
      <c r="D340" s="378"/>
      <c r="E340" s="378"/>
      <c r="F340" s="378"/>
      <c r="G340" s="378"/>
      <c r="H340" s="378"/>
      <c r="I340" s="378"/>
      <c r="J340" s="378"/>
      <c r="K340" s="378"/>
      <c r="L340" s="378"/>
      <c r="M340" s="378"/>
      <c r="N340" s="378"/>
      <c r="O340" s="378"/>
      <c r="P340" s="378"/>
      <c r="Q340" s="378"/>
      <c r="R340" s="378"/>
      <c r="S340" s="378"/>
      <c r="T340" s="378"/>
      <c r="U340" s="378"/>
      <c r="V340" s="378"/>
      <c r="W340" s="378"/>
      <c r="X340" s="378"/>
    </row>
    <row r="341" spans="2:24" s="359" customFormat="1" ht="20.100000000000001" customHeight="1">
      <c r="B341" s="378"/>
      <c r="C341" s="378"/>
      <c r="D341" s="378"/>
      <c r="E341" s="378"/>
      <c r="F341" s="378"/>
      <c r="G341" s="378"/>
      <c r="H341" s="378"/>
      <c r="I341" s="378"/>
      <c r="J341" s="378"/>
      <c r="K341" s="378"/>
      <c r="L341" s="378"/>
      <c r="M341" s="378"/>
      <c r="N341" s="378"/>
      <c r="O341" s="378"/>
      <c r="P341" s="378"/>
      <c r="Q341" s="378"/>
      <c r="R341" s="378"/>
      <c r="S341" s="378"/>
      <c r="T341" s="378"/>
      <c r="U341" s="378"/>
      <c r="V341" s="378"/>
      <c r="W341" s="378"/>
      <c r="X341" s="378"/>
    </row>
    <row r="342" spans="2:24" s="359" customFormat="1" ht="20.100000000000001" customHeight="1">
      <c r="B342" s="378"/>
      <c r="C342" s="378"/>
      <c r="D342" s="378"/>
      <c r="E342" s="378"/>
      <c r="F342" s="378"/>
      <c r="G342" s="378"/>
      <c r="H342" s="378"/>
      <c r="I342" s="378"/>
      <c r="J342" s="378"/>
      <c r="K342" s="378"/>
      <c r="L342" s="378"/>
      <c r="M342" s="378"/>
      <c r="N342" s="378"/>
      <c r="O342" s="378"/>
      <c r="P342" s="378"/>
      <c r="Q342" s="378"/>
      <c r="R342" s="378"/>
      <c r="S342" s="378"/>
      <c r="T342" s="378"/>
      <c r="U342" s="378"/>
      <c r="V342" s="378"/>
      <c r="W342" s="378"/>
      <c r="X342" s="378"/>
    </row>
    <row r="343" spans="2:24" s="359" customFormat="1" ht="20.100000000000001" customHeight="1">
      <c r="B343" s="378"/>
      <c r="C343" s="378"/>
      <c r="D343" s="378"/>
      <c r="E343" s="378"/>
      <c r="F343" s="378"/>
      <c r="G343" s="378"/>
      <c r="H343" s="378"/>
      <c r="I343" s="378"/>
      <c r="J343" s="378"/>
      <c r="K343" s="378"/>
      <c r="L343" s="378"/>
      <c r="M343" s="378"/>
      <c r="N343" s="378"/>
      <c r="O343" s="378"/>
      <c r="P343" s="378"/>
      <c r="Q343" s="378"/>
      <c r="R343" s="378"/>
      <c r="S343" s="378"/>
      <c r="T343" s="378"/>
      <c r="U343" s="378"/>
      <c r="V343" s="378"/>
      <c r="W343" s="378"/>
      <c r="X343" s="378"/>
    </row>
    <row r="344" spans="2:24" s="359" customFormat="1" ht="20.100000000000001" customHeight="1">
      <c r="B344" s="378"/>
      <c r="C344" s="378"/>
      <c r="D344" s="378"/>
      <c r="E344" s="378"/>
      <c r="F344" s="378"/>
      <c r="G344" s="378"/>
      <c r="H344" s="378"/>
      <c r="I344" s="378"/>
      <c r="J344" s="378"/>
      <c r="K344" s="378"/>
      <c r="L344" s="378"/>
      <c r="M344" s="378"/>
      <c r="N344" s="378"/>
      <c r="O344" s="378"/>
      <c r="P344" s="378"/>
      <c r="Q344" s="378"/>
      <c r="R344" s="378"/>
      <c r="S344" s="378"/>
      <c r="T344" s="378"/>
      <c r="U344" s="378"/>
      <c r="V344" s="378"/>
      <c r="W344" s="378"/>
      <c r="X344" s="378"/>
    </row>
    <row r="345" spans="2:24" ht="20.100000000000001" customHeight="1"/>
    <row r="346" spans="2:24" ht="10.15" customHeight="1"/>
    <row r="347" spans="2:24" ht="20.100000000000001" customHeight="1"/>
    <row r="348" spans="2:24" ht="20.100000000000001" customHeight="1"/>
    <row r="349" spans="2:24" ht="20.100000000000001" customHeight="1"/>
    <row r="350" spans="2:24" s="359" customFormat="1" ht="20.100000000000001" customHeight="1">
      <c r="B350" s="378"/>
      <c r="C350" s="378"/>
      <c r="D350" s="378"/>
      <c r="E350" s="378"/>
      <c r="F350" s="378"/>
      <c r="G350" s="378"/>
      <c r="H350" s="378"/>
      <c r="I350" s="378"/>
      <c r="J350" s="378"/>
      <c r="K350" s="378"/>
      <c r="L350" s="378"/>
      <c r="M350" s="378"/>
      <c r="N350" s="378"/>
      <c r="O350" s="378"/>
      <c r="P350" s="378"/>
      <c r="Q350" s="378"/>
      <c r="R350" s="378"/>
      <c r="S350" s="378"/>
      <c r="T350" s="378"/>
      <c r="U350" s="378"/>
      <c r="V350" s="378"/>
      <c r="W350" s="378"/>
      <c r="X350" s="378"/>
    </row>
    <row r="351" spans="2:24" s="359" customFormat="1" ht="20.100000000000001" customHeight="1">
      <c r="B351" s="378"/>
      <c r="C351" s="378"/>
      <c r="D351" s="378"/>
      <c r="E351" s="378"/>
      <c r="F351" s="378"/>
      <c r="G351" s="378"/>
      <c r="H351" s="378"/>
      <c r="I351" s="378"/>
      <c r="J351" s="378"/>
      <c r="K351" s="378"/>
      <c r="L351" s="378"/>
      <c r="M351" s="378"/>
      <c r="N351" s="378"/>
      <c r="O351" s="378"/>
      <c r="P351" s="378"/>
      <c r="Q351" s="378"/>
      <c r="R351" s="378"/>
      <c r="S351" s="378"/>
      <c r="T351" s="378"/>
      <c r="U351" s="378"/>
      <c r="V351" s="378"/>
      <c r="W351" s="378"/>
      <c r="X351" s="378"/>
    </row>
    <row r="352" spans="2:24" s="359" customFormat="1" ht="20.100000000000001" customHeight="1">
      <c r="B352" s="378"/>
      <c r="C352" s="378"/>
      <c r="D352" s="378"/>
      <c r="E352" s="378"/>
      <c r="F352" s="378"/>
      <c r="G352" s="378"/>
      <c r="H352" s="378"/>
      <c r="I352" s="378"/>
      <c r="J352" s="378"/>
      <c r="K352" s="378"/>
      <c r="L352" s="378"/>
      <c r="M352" s="378"/>
      <c r="N352" s="378"/>
      <c r="O352" s="378"/>
      <c r="P352" s="378"/>
      <c r="Q352" s="378"/>
      <c r="R352" s="378"/>
      <c r="S352" s="378"/>
      <c r="T352" s="378"/>
      <c r="U352" s="378"/>
      <c r="V352" s="378"/>
      <c r="W352" s="378"/>
      <c r="X352" s="378"/>
    </row>
    <row r="353" spans="2:24" s="359" customFormat="1" ht="20.100000000000001" customHeight="1">
      <c r="B353" s="378"/>
      <c r="C353" s="378"/>
      <c r="D353" s="378"/>
      <c r="E353" s="378"/>
      <c r="F353" s="378"/>
      <c r="G353" s="378"/>
      <c r="H353" s="378"/>
      <c r="I353" s="378"/>
      <c r="J353" s="378"/>
      <c r="K353" s="378"/>
      <c r="L353" s="378"/>
      <c r="M353" s="378"/>
      <c r="N353" s="378"/>
      <c r="O353" s="378"/>
      <c r="P353" s="378"/>
      <c r="Q353" s="378"/>
      <c r="R353" s="378"/>
      <c r="S353" s="378"/>
      <c r="T353" s="378"/>
      <c r="U353" s="378"/>
      <c r="V353" s="378"/>
      <c r="W353" s="378"/>
      <c r="X353" s="378"/>
    </row>
    <row r="354" spans="2:24" s="359" customFormat="1" ht="20.100000000000001" customHeight="1">
      <c r="B354" s="378"/>
      <c r="C354" s="378"/>
      <c r="D354" s="378"/>
      <c r="E354" s="378"/>
      <c r="F354" s="378"/>
      <c r="G354" s="378"/>
      <c r="H354" s="378"/>
      <c r="I354" s="378"/>
      <c r="J354" s="378"/>
      <c r="K354" s="378"/>
      <c r="L354" s="378"/>
      <c r="M354" s="378"/>
      <c r="N354" s="378"/>
      <c r="O354" s="378"/>
      <c r="P354" s="378"/>
      <c r="Q354" s="378"/>
      <c r="R354" s="378"/>
      <c r="S354" s="378"/>
      <c r="T354" s="378"/>
      <c r="U354" s="378"/>
      <c r="V354" s="378"/>
      <c r="W354" s="378"/>
      <c r="X354" s="378"/>
    </row>
    <row r="355" spans="2:24" s="359" customFormat="1" ht="20.100000000000001" customHeight="1">
      <c r="B355" s="378"/>
      <c r="C355" s="378"/>
      <c r="D355" s="378"/>
      <c r="E355" s="378"/>
      <c r="F355" s="378"/>
      <c r="G355" s="378"/>
      <c r="H355" s="378"/>
      <c r="I355" s="378"/>
      <c r="J355" s="378"/>
      <c r="K355" s="378"/>
      <c r="L355" s="378"/>
      <c r="M355" s="378"/>
      <c r="N355" s="378"/>
      <c r="O355" s="378"/>
      <c r="P355" s="378"/>
      <c r="Q355" s="378"/>
      <c r="R355" s="378"/>
      <c r="S355" s="378"/>
      <c r="T355" s="378"/>
      <c r="U355" s="378"/>
      <c r="V355" s="378"/>
      <c r="W355" s="378"/>
      <c r="X355" s="378"/>
    </row>
    <row r="356" spans="2:24" s="359" customFormat="1" ht="20.100000000000001" customHeight="1">
      <c r="B356" s="378"/>
      <c r="C356" s="378"/>
      <c r="D356" s="378"/>
      <c r="E356" s="378"/>
      <c r="F356" s="378"/>
      <c r="G356" s="378"/>
      <c r="H356" s="378"/>
      <c r="I356" s="378"/>
      <c r="J356" s="378"/>
      <c r="K356" s="378"/>
      <c r="L356" s="378"/>
      <c r="M356" s="378"/>
      <c r="N356" s="378"/>
      <c r="O356" s="378"/>
      <c r="P356" s="378"/>
      <c r="Q356" s="378"/>
      <c r="R356" s="378"/>
      <c r="S356" s="378"/>
      <c r="T356" s="378"/>
      <c r="U356" s="378"/>
      <c r="V356" s="378"/>
      <c r="W356" s="378"/>
      <c r="X356" s="378"/>
    </row>
    <row r="357" spans="2:24" s="359" customFormat="1" ht="20.100000000000001" customHeight="1">
      <c r="B357" s="378"/>
      <c r="C357" s="378"/>
      <c r="D357" s="378"/>
      <c r="E357" s="378"/>
      <c r="F357" s="378"/>
      <c r="G357" s="378"/>
      <c r="H357" s="378"/>
      <c r="I357" s="378"/>
      <c r="J357" s="378"/>
      <c r="K357" s="378"/>
      <c r="L357" s="378"/>
      <c r="M357" s="378"/>
      <c r="N357" s="378"/>
      <c r="O357" s="378"/>
      <c r="P357" s="378"/>
      <c r="Q357" s="378"/>
      <c r="R357" s="378"/>
      <c r="S357" s="378"/>
      <c r="T357" s="378"/>
      <c r="U357" s="378"/>
      <c r="V357" s="378"/>
      <c r="W357" s="378"/>
      <c r="X357" s="378"/>
    </row>
    <row r="358" spans="2:24" s="359" customFormat="1" ht="20.100000000000001" customHeight="1">
      <c r="B358" s="378"/>
      <c r="C358" s="378"/>
      <c r="D358" s="378"/>
      <c r="E358" s="378"/>
      <c r="F358" s="378"/>
      <c r="G358" s="378"/>
      <c r="H358" s="378"/>
      <c r="I358" s="378"/>
      <c r="J358" s="378"/>
      <c r="K358" s="378"/>
      <c r="L358" s="378"/>
      <c r="M358" s="378"/>
      <c r="N358" s="378"/>
      <c r="O358" s="378"/>
      <c r="P358" s="378"/>
      <c r="Q358" s="378"/>
      <c r="R358" s="378"/>
      <c r="S358" s="378"/>
      <c r="T358" s="378"/>
      <c r="U358" s="378"/>
      <c r="V358" s="378"/>
      <c r="W358" s="378"/>
      <c r="X358" s="378"/>
    </row>
    <row r="359" spans="2:24" s="359" customFormat="1" ht="20.100000000000001" customHeight="1">
      <c r="B359" s="378"/>
      <c r="C359" s="378"/>
      <c r="D359" s="378"/>
      <c r="E359" s="378"/>
      <c r="F359" s="378"/>
      <c r="G359" s="378"/>
      <c r="H359" s="378"/>
      <c r="I359" s="378"/>
      <c r="J359" s="378"/>
      <c r="K359" s="378"/>
      <c r="L359" s="378"/>
      <c r="M359" s="378"/>
      <c r="N359" s="378"/>
      <c r="O359" s="378"/>
      <c r="P359" s="378"/>
      <c r="Q359" s="378"/>
      <c r="R359" s="378"/>
      <c r="S359" s="378"/>
      <c r="T359" s="378"/>
      <c r="U359" s="378"/>
      <c r="V359" s="378"/>
      <c r="W359" s="378"/>
      <c r="X359" s="378"/>
    </row>
    <row r="360" spans="2:24" s="359" customFormat="1" ht="20.100000000000001" customHeight="1">
      <c r="B360" s="378"/>
      <c r="C360" s="378"/>
      <c r="D360" s="378"/>
      <c r="E360" s="378"/>
      <c r="F360" s="378"/>
      <c r="G360" s="378"/>
      <c r="H360" s="378"/>
      <c r="I360" s="378"/>
      <c r="J360" s="378"/>
      <c r="K360" s="378"/>
      <c r="L360" s="378"/>
      <c r="M360" s="378"/>
      <c r="N360" s="378"/>
      <c r="O360" s="378"/>
      <c r="P360" s="378"/>
      <c r="Q360" s="378"/>
      <c r="R360" s="378"/>
      <c r="S360" s="378"/>
      <c r="T360" s="378"/>
      <c r="U360" s="378"/>
      <c r="V360" s="378"/>
      <c r="W360" s="378"/>
      <c r="X360" s="378"/>
    </row>
    <row r="361" spans="2:24" s="359" customFormat="1" ht="20.100000000000001" customHeight="1">
      <c r="B361" s="378"/>
      <c r="C361" s="378"/>
      <c r="D361" s="378"/>
      <c r="E361" s="378"/>
      <c r="F361" s="378"/>
      <c r="G361" s="378"/>
      <c r="H361" s="378"/>
      <c r="I361" s="378"/>
      <c r="J361" s="378"/>
      <c r="K361" s="378"/>
      <c r="L361" s="378"/>
      <c r="M361" s="378"/>
      <c r="N361" s="378"/>
      <c r="O361" s="378"/>
      <c r="P361" s="378"/>
      <c r="Q361" s="378"/>
      <c r="R361" s="378"/>
      <c r="S361" s="378"/>
      <c r="T361" s="378"/>
      <c r="U361" s="378"/>
      <c r="V361" s="378"/>
      <c r="W361" s="378"/>
      <c r="X361" s="378"/>
    </row>
    <row r="362" spans="2:24" s="359" customFormat="1" ht="20.100000000000001" customHeight="1">
      <c r="B362" s="378"/>
      <c r="C362" s="378"/>
      <c r="D362" s="378"/>
      <c r="E362" s="378"/>
      <c r="F362" s="378"/>
      <c r="G362" s="378"/>
      <c r="H362" s="378"/>
      <c r="I362" s="378"/>
      <c r="J362" s="378"/>
      <c r="K362" s="378"/>
      <c r="L362" s="378"/>
      <c r="M362" s="378"/>
      <c r="N362" s="378"/>
      <c r="O362" s="378"/>
      <c r="P362" s="378"/>
      <c r="Q362" s="378"/>
      <c r="R362" s="378"/>
      <c r="S362" s="378"/>
      <c r="T362" s="378"/>
      <c r="U362" s="378"/>
      <c r="V362" s="378"/>
      <c r="W362" s="378"/>
      <c r="X362" s="378"/>
    </row>
    <row r="363" spans="2:24" s="359" customFormat="1" ht="20.100000000000001" customHeight="1">
      <c r="B363" s="378"/>
      <c r="C363" s="378"/>
      <c r="D363" s="378"/>
      <c r="E363" s="378"/>
      <c r="F363" s="378"/>
      <c r="G363" s="378"/>
      <c r="H363" s="378"/>
      <c r="I363" s="378"/>
      <c r="J363" s="378"/>
      <c r="K363" s="378"/>
      <c r="L363" s="378"/>
      <c r="M363" s="378"/>
      <c r="N363" s="378"/>
      <c r="O363" s="378"/>
      <c r="P363" s="378"/>
      <c r="Q363" s="378"/>
      <c r="R363" s="378"/>
      <c r="S363" s="378"/>
      <c r="T363" s="378"/>
      <c r="U363" s="378"/>
      <c r="V363" s="378"/>
      <c r="W363" s="378"/>
      <c r="X363" s="378"/>
    </row>
    <row r="364" spans="2:24" s="359" customFormat="1" ht="20.100000000000001" customHeight="1">
      <c r="B364" s="378"/>
      <c r="C364" s="378"/>
      <c r="D364" s="378"/>
      <c r="E364" s="378"/>
      <c r="F364" s="378"/>
      <c r="G364" s="378"/>
      <c r="H364" s="378"/>
      <c r="I364" s="378"/>
      <c r="J364" s="378"/>
      <c r="K364" s="378"/>
      <c r="L364" s="378"/>
      <c r="M364" s="378"/>
      <c r="N364" s="378"/>
      <c r="O364" s="378"/>
      <c r="P364" s="378"/>
      <c r="Q364" s="378"/>
      <c r="R364" s="378"/>
      <c r="S364" s="378"/>
      <c r="T364" s="378"/>
      <c r="U364" s="378"/>
      <c r="V364" s="378"/>
      <c r="W364" s="378"/>
      <c r="X364" s="378"/>
    </row>
    <row r="365" spans="2:24" s="359" customFormat="1" ht="20.100000000000001" customHeight="1">
      <c r="B365" s="378"/>
      <c r="C365" s="378"/>
      <c r="D365" s="378"/>
      <c r="E365" s="378"/>
      <c r="F365" s="378"/>
      <c r="G365" s="378"/>
      <c r="H365" s="378"/>
      <c r="I365" s="378"/>
      <c r="J365" s="378"/>
      <c r="K365" s="378"/>
      <c r="L365" s="378"/>
      <c r="M365" s="378"/>
      <c r="N365" s="378"/>
      <c r="O365" s="378"/>
      <c r="P365" s="378"/>
      <c r="Q365" s="378"/>
      <c r="R365" s="378"/>
      <c r="S365" s="378"/>
      <c r="T365" s="378"/>
      <c r="U365" s="378"/>
      <c r="V365" s="378"/>
      <c r="W365" s="378"/>
      <c r="X365" s="378"/>
    </row>
    <row r="366" spans="2:24" s="359" customFormat="1" ht="20.100000000000001" customHeight="1">
      <c r="B366" s="378"/>
      <c r="C366" s="378"/>
      <c r="D366" s="378"/>
      <c r="E366" s="378"/>
      <c r="F366" s="378"/>
      <c r="G366" s="378"/>
      <c r="H366" s="378"/>
      <c r="I366" s="378"/>
      <c r="J366" s="378"/>
      <c r="K366" s="378"/>
      <c r="L366" s="378"/>
      <c r="M366" s="378"/>
      <c r="N366" s="378"/>
      <c r="O366" s="378"/>
      <c r="P366" s="378"/>
      <c r="Q366" s="378"/>
      <c r="R366" s="378"/>
      <c r="S366" s="378"/>
      <c r="T366" s="378"/>
      <c r="U366" s="378"/>
      <c r="V366" s="378"/>
      <c r="W366" s="378"/>
      <c r="X366" s="378"/>
    </row>
    <row r="367" spans="2:24" s="359" customFormat="1" ht="20.100000000000001" customHeight="1">
      <c r="B367" s="378"/>
      <c r="C367" s="378"/>
      <c r="D367" s="378"/>
      <c r="E367" s="378"/>
      <c r="F367" s="378"/>
      <c r="G367" s="378"/>
      <c r="H367" s="378"/>
      <c r="I367" s="378"/>
      <c r="J367" s="378"/>
      <c r="K367" s="378"/>
      <c r="L367" s="378"/>
      <c r="M367" s="378"/>
      <c r="N367" s="378"/>
      <c r="O367" s="378"/>
      <c r="P367" s="378"/>
      <c r="Q367" s="378"/>
      <c r="R367" s="378"/>
      <c r="S367" s="378"/>
      <c r="T367" s="378"/>
      <c r="U367" s="378"/>
      <c r="V367" s="378"/>
      <c r="W367" s="378"/>
      <c r="X367" s="378"/>
    </row>
    <row r="368" spans="2:24" s="359" customFormat="1" ht="20.100000000000001" customHeight="1">
      <c r="B368" s="378"/>
      <c r="C368" s="378"/>
      <c r="D368" s="378"/>
      <c r="E368" s="378"/>
      <c r="F368" s="378"/>
      <c r="G368" s="378"/>
      <c r="H368" s="378"/>
      <c r="I368" s="378"/>
      <c r="J368" s="378"/>
      <c r="K368" s="378"/>
      <c r="L368" s="378"/>
      <c r="M368" s="378"/>
      <c r="N368" s="378"/>
      <c r="O368" s="378"/>
      <c r="P368" s="378"/>
      <c r="Q368" s="378"/>
      <c r="R368" s="378"/>
      <c r="S368" s="378"/>
      <c r="T368" s="378"/>
      <c r="U368" s="378"/>
      <c r="V368" s="378"/>
      <c r="W368" s="378"/>
      <c r="X368" s="378"/>
    </row>
    <row r="369" spans="2:24" s="359" customFormat="1" ht="20.100000000000001" customHeight="1">
      <c r="B369" s="378"/>
      <c r="C369" s="378"/>
      <c r="D369" s="378"/>
      <c r="E369" s="378"/>
      <c r="F369" s="378"/>
      <c r="G369" s="378"/>
      <c r="H369" s="378"/>
      <c r="I369" s="378"/>
      <c r="J369" s="378"/>
      <c r="K369" s="378"/>
      <c r="L369" s="378"/>
      <c r="M369" s="378"/>
      <c r="N369" s="378"/>
      <c r="O369" s="378"/>
      <c r="P369" s="378"/>
      <c r="Q369" s="378"/>
      <c r="R369" s="378"/>
      <c r="S369" s="378"/>
      <c r="T369" s="378"/>
      <c r="U369" s="378"/>
      <c r="V369" s="378"/>
      <c r="W369" s="378"/>
      <c r="X369" s="378"/>
    </row>
    <row r="370" spans="2:24" s="359" customFormat="1" ht="20.100000000000001" customHeight="1">
      <c r="B370" s="378"/>
      <c r="C370" s="378"/>
      <c r="D370" s="378"/>
      <c r="E370" s="378"/>
      <c r="F370" s="378"/>
      <c r="G370" s="378"/>
      <c r="H370" s="378"/>
      <c r="I370" s="378"/>
      <c r="J370" s="378"/>
      <c r="K370" s="378"/>
      <c r="L370" s="378"/>
      <c r="M370" s="378"/>
      <c r="N370" s="378"/>
      <c r="O370" s="378"/>
      <c r="P370" s="378"/>
      <c r="Q370" s="378"/>
      <c r="R370" s="378"/>
      <c r="S370" s="378"/>
      <c r="T370" s="378"/>
      <c r="U370" s="378"/>
      <c r="V370" s="378"/>
      <c r="W370" s="378"/>
      <c r="X370" s="378"/>
    </row>
    <row r="371" spans="2:24" s="359" customFormat="1" ht="20.100000000000001" customHeight="1">
      <c r="B371" s="378"/>
      <c r="C371" s="378"/>
      <c r="D371" s="378"/>
      <c r="E371" s="378"/>
      <c r="F371" s="378"/>
      <c r="G371" s="378"/>
      <c r="H371" s="378"/>
      <c r="I371" s="378"/>
      <c r="J371" s="378"/>
      <c r="K371" s="378"/>
      <c r="L371" s="378"/>
      <c r="M371" s="378"/>
      <c r="N371" s="378"/>
      <c r="O371" s="378"/>
      <c r="P371" s="378"/>
      <c r="Q371" s="378"/>
      <c r="R371" s="378"/>
      <c r="S371" s="378"/>
      <c r="T371" s="378"/>
      <c r="U371" s="378"/>
      <c r="V371" s="378"/>
      <c r="W371" s="378"/>
      <c r="X371" s="378"/>
    </row>
    <row r="372" spans="2:24" s="359" customFormat="1" ht="20.100000000000001" customHeight="1">
      <c r="B372" s="378"/>
      <c r="C372" s="378"/>
      <c r="D372" s="378"/>
      <c r="E372" s="378"/>
      <c r="F372" s="378"/>
      <c r="G372" s="378"/>
      <c r="H372" s="378"/>
      <c r="I372" s="378"/>
      <c r="J372" s="378"/>
      <c r="K372" s="378"/>
      <c r="L372" s="378"/>
      <c r="M372" s="378"/>
      <c r="N372" s="378"/>
      <c r="O372" s="378"/>
      <c r="P372" s="378"/>
      <c r="Q372" s="378"/>
      <c r="R372" s="378"/>
      <c r="S372" s="378"/>
      <c r="T372" s="378"/>
      <c r="U372" s="378"/>
      <c r="V372" s="378"/>
      <c r="W372" s="378"/>
      <c r="X372" s="378"/>
    </row>
    <row r="373" spans="2:24" s="359" customFormat="1" ht="20.100000000000001" customHeight="1">
      <c r="B373" s="378"/>
      <c r="C373" s="378"/>
      <c r="D373" s="378"/>
      <c r="E373" s="378"/>
      <c r="F373" s="378"/>
      <c r="G373" s="378"/>
      <c r="H373" s="378"/>
      <c r="I373" s="378"/>
      <c r="J373" s="378"/>
      <c r="K373" s="378"/>
      <c r="L373" s="378"/>
      <c r="M373" s="378"/>
      <c r="N373" s="378"/>
      <c r="O373" s="378"/>
      <c r="P373" s="378"/>
      <c r="Q373" s="378"/>
      <c r="R373" s="378"/>
      <c r="S373" s="378"/>
      <c r="T373" s="378"/>
      <c r="U373" s="378"/>
      <c r="V373" s="378"/>
      <c r="W373" s="378"/>
      <c r="X373" s="378"/>
    </row>
    <row r="374" spans="2:24" s="359" customFormat="1" ht="20.100000000000001" customHeight="1">
      <c r="B374" s="378"/>
      <c r="C374" s="378"/>
      <c r="D374" s="378"/>
      <c r="E374" s="378"/>
      <c r="F374" s="378"/>
      <c r="G374" s="378"/>
      <c r="H374" s="378"/>
      <c r="I374" s="378"/>
      <c r="J374" s="378"/>
      <c r="K374" s="378"/>
      <c r="L374" s="378"/>
      <c r="M374" s="378"/>
      <c r="N374" s="378"/>
      <c r="O374" s="378"/>
      <c r="P374" s="378"/>
      <c r="Q374" s="378"/>
      <c r="R374" s="378"/>
      <c r="S374" s="378"/>
      <c r="T374" s="378"/>
      <c r="U374" s="378"/>
      <c r="V374" s="378"/>
      <c r="W374" s="378"/>
      <c r="X374" s="378"/>
    </row>
    <row r="375" spans="2:24" s="359" customFormat="1" ht="20.100000000000001" customHeight="1">
      <c r="B375" s="378"/>
      <c r="C375" s="378"/>
      <c r="D375" s="378"/>
      <c r="E375" s="378"/>
      <c r="F375" s="378"/>
      <c r="G375" s="378"/>
      <c r="H375" s="378"/>
      <c r="I375" s="378"/>
      <c r="J375" s="378"/>
      <c r="K375" s="378"/>
      <c r="L375" s="378"/>
      <c r="M375" s="378"/>
      <c r="N375" s="378"/>
      <c r="O375" s="378"/>
      <c r="P375" s="378"/>
      <c r="Q375" s="378"/>
      <c r="R375" s="378"/>
      <c r="S375" s="378"/>
      <c r="T375" s="378"/>
      <c r="U375" s="378"/>
      <c r="V375" s="378"/>
      <c r="W375" s="378"/>
      <c r="X375" s="378"/>
    </row>
    <row r="376" spans="2:24" s="359" customFormat="1" ht="20.100000000000001" customHeight="1">
      <c r="B376" s="378"/>
      <c r="C376" s="378"/>
      <c r="D376" s="378"/>
      <c r="E376" s="378"/>
      <c r="F376" s="378"/>
      <c r="G376" s="378"/>
      <c r="H376" s="378"/>
      <c r="I376" s="378"/>
      <c r="J376" s="378"/>
      <c r="K376" s="378"/>
      <c r="L376" s="378"/>
      <c r="M376" s="378"/>
      <c r="N376" s="378"/>
      <c r="O376" s="378"/>
      <c r="P376" s="378"/>
      <c r="Q376" s="378"/>
      <c r="R376" s="378"/>
      <c r="S376" s="378"/>
      <c r="T376" s="378"/>
      <c r="U376" s="378"/>
      <c r="V376" s="378"/>
      <c r="W376" s="378"/>
      <c r="X376" s="378"/>
    </row>
    <row r="377" spans="2:24" s="359" customFormat="1" ht="20.100000000000001" customHeight="1">
      <c r="B377" s="378"/>
      <c r="C377" s="378"/>
      <c r="D377" s="378"/>
      <c r="E377" s="378"/>
      <c r="F377" s="378"/>
      <c r="G377" s="378"/>
      <c r="H377" s="378"/>
      <c r="I377" s="378"/>
      <c r="J377" s="378"/>
      <c r="K377" s="378"/>
      <c r="L377" s="378"/>
      <c r="M377" s="378"/>
      <c r="N377" s="378"/>
      <c r="O377" s="378"/>
      <c r="P377" s="378"/>
      <c r="Q377" s="378"/>
      <c r="R377" s="378"/>
      <c r="S377" s="378"/>
      <c r="T377" s="378"/>
      <c r="U377" s="378"/>
      <c r="V377" s="378"/>
      <c r="W377" s="378"/>
      <c r="X377" s="378"/>
    </row>
    <row r="378" spans="2:24" s="359" customFormat="1" ht="20.100000000000001" customHeight="1">
      <c r="B378" s="378"/>
      <c r="C378" s="378"/>
      <c r="D378" s="378"/>
      <c r="E378" s="378"/>
      <c r="F378" s="378"/>
      <c r="G378" s="378"/>
      <c r="H378" s="378"/>
      <c r="I378" s="378"/>
      <c r="J378" s="378"/>
      <c r="K378" s="378"/>
      <c r="L378" s="378"/>
      <c r="M378" s="378"/>
      <c r="N378" s="378"/>
      <c r="O378" s="378"/>
      <c r="P378" s="378"/>
      <c r="Q378" s="378"/>
      <c r="R378" s="378"/>
      <c r="S378" s="378"/>
      <c r="T378" s="378"/>
      <c r="U378" s="378"/>
      <c r="V378" s="378"/>
      <c r="W378" s="378"/>
      <c r="X378" s="378"/>
    </row>
    <row r="379" spans="2:24" s="359" customFormat="1" ht="20.100000000000001" customHeight="1">
      <c r="B379" s="378"/>
      <c r="C379" s="378"/>
      <c r="D379" s="378"/>
      <c r="E379" s="378"/>
      <c r="F379" s="378"/>
      <c r="G379" s="378"/>
      <c r="H379" s="378"/>
      <c r="I379" s="378"/>
      <c r="J379" s="378"/>
      <c r="K379" s="378"/>
      <c r="L379" s="378"/>
      <c r="M379" s="378"/>
      <c r="N379" s="378"/>
      <c r="O379" s="378"/>
      <c r="P379" s="378"/>
      <c r="Q379" s="378"/>
      <c r="R379" s="378"/>
      <c r="S379" s="378"/>
      <c r="T379" s="378"/>
      <c r="U379" s="378"/>
      <c r="V379" s="378"/>
      <c r="W379" s="378"/>
      <c r="X379" s="378"/>
    </row>
    <row r="380" spans="2:24" s="359" customFormat="1" ht="20.100000000000001" customHeight="1">
      <c r="B380" s="378"/>
      <c r="C380" s="378"/>
      <c r="D380" s="378"/>
      <c r="E380" s="378"/>
      <c r="F380" s="378"/>
      <c r="G380" s="378"/>
      <c r="H380" s="378"/>
      <c r="I380" s="378"/>
      <c r="J380" s="378"/>
      <c r="K380" s="378"/>
      <c r="L380" s="378"/>
      <c r="M380" s="378"/>
      <c r="N380" s="378"/>
      <c r="O380" s="378"/>
      <c r="P380" s="378"/>
      <c r="Q380" s="378"/>
      <c r="R380" s="378"/>
      <c r="S380" s="378"/>
      <c r="T380" s="378"/>
      <c r="U380" s="378"/>
      <c r="V380" s="378"/>
      <c r="W380" s="378"/>
      <c r="X380" s="378"/>
    </row>
    <row r="381" spans="2:24" s="359" customFormat="1" ht="20.100000000000001" customHeight="1">
      <c r="B381" s="378"/>
      <c r="C381" s="378"/>
      <c r="D381" s="378"/>
      <c r="E381" s="378"/>
      <c r="F381" s="378"/>
      <c r="G381" s="378"/>
      <c r="H381" s="378"/>
      <c r="I381" s="378"/>
      <c r="J381" s="378"/>
      <c r="K381" s="378"/>
      <c r="L381" s="378"/>
      <c r="M381" s="378"/>
      <c r="N381" s="378"/>
      <c r="O381" s="378"/>
      <c r="P381" s="378"/>
      <c r="Q381" s="378"/>
      <c r="R381" s="378"/>
      <c r="S381" s="378"/>
      <c r="T381" s="378"/>
      <c r="U381" s="378"/>
      <c r="V381" s="378"/>
      <c r="W381" s="378"/>
      <c r="X381" s="378"/>
    </row>
    <row r="382" spans="2:24" s="359" customFormat="1" ht="20.100000000000001" customHeight="1">
      <c r="B382" s="378"/>
      <c r="C382" s="378"/>
      <c r="D382" s="378"/>
      <c r="E382" s="378"/>
      <c r="F382" s="378"/>
      <c r="G382" s="378"/>
      <c r="H382" s="378"/>
      <c r="I382" s="378"/>
      <c r="J382" s="378"/>
      <c r="K382" s="378"/>
      <c r="L382" s="378"/>
      <c r="M382" s="378"/>
      <c r="N382" s="378"/>
      <c r="O382" s="378"/>
      <c r="P382" s="378"/>
      <c r="Q382" s="378"/>
      <c r="R382" s="378"/>
      <c r="S382" s="378"/>
      <c r="T382" s="378"/>
      <c r="U382" s="378"/>
      <c r="V382" s="378"/>
      <c r="W382" s="378"/>
      <c r="X382" s="378"/>
    </row>
    <row r="383" spans="2:24" s="359" customFormat="1" ht="20.100000000000001" customHeight="1">
      <c r="B383" s="378"/>
      <c r="C383" s="378"/>
      <c r="D383" s="378"/>
      <c r="E383" s="378"/>
      <c r="F383" s="378"/>
      <c r="G383" s="378"/>
      <c r="H383" s="378"/>
      <c r="I383" s="378"/>
      <c r="J383" s="378"/>
      <c r="K383" s="378"/>
      <c r="L383" s="378"/>
      <c r="M383" s="378"/>
      <c r="N383" s="378"/>
      <c r="O383" s="378"/>
      <c r="P383" s="378"/>
      <c r="Q383" s="378"/>
      <c r="R383" s="378"/>
      <c r="S383" s="378"/>
      <c r="T383" s="378"/>
      <c r="U383" s="378"/>
      <c r="V383" s="378"/>
      <c r="W383" s="378"/>
      <c r="X383" s="378"/>
    </row>
    <row r="384" spans="2:24" s="359" customFormat="1" ht="20.100000000000001" customHeight="1">
      <c r="B384" s="378"/>
      <c r="C384" s="378"/>
      <c r="D384" s="378"/>
      <c r="E384" s="378"/>
      <c r="F384" s="378"/>
      <c r="G384" s="378"/>
      <c r="H384" s="378"/>
      <c r="I384" s="378"/>
      <c r="J384" s="378"/>
      <c r="K384" s="378"/>
      <c r="L384" s="378"/>
      <c r="M384" s="378"/>
      <c r="N384" s="378"/>
      <c r="O384" s="378"/>
      <c r="P384" s="378"/>
      <c r="Q384" s="378"/>
      <c r="R384" s="378"/>
      <c r="S384" s="378"/>
      <c r="T384" s="378"/>
      <c r="U384" s="378"/>
      <c r="V384" s="378"/>
      <c r="W384" s="378"/>
      <c r="X384" s="378"/>
    </row>
    <row r="385" spans="2:24" s="359" customFormat="1" ht="20.100000000000001" customHeight="1">
      <c r="B385" s="378"/>
      <c r="C385" s="378"/>
      <c r="D385" s="378"/>
      <c r="E385" s="378"/>
      <c r="F385" s="378"/>
      <c r="G385" s="378"/>
      <c r="H385" s="378"/>
      <c r="I385" s="378"/>
      <c r="J385" s="378"/>
      <c r="K385" s="378"/>
      <c r="L385" s="378"/>
      <c r="M385" s="378"/>
      <c r="N385" s="378"/>
      <c r="O385" s="378"/>
      <c r="P385" s="378"/>
      <c r="Q385" s="378"/>
      <c r="R385" s="378"/>
      <c r="S385" s="378"/>
      <c r="T385" s="378"/>
      <c r="U385" s="378"/>
      <c r="V385" s="378"/>
      <c r="W385" s="378"/>
      <c r="X385" s="378"/>
    </row>
    <row r="386" spans="2:24" s="359" customFormat="1" ht="20.100000000000001" customHeight="1">
      <c r="B386" s="378"/>
      <c r="C386" s="378"/>
      <c r="D386" s="378"/>
      <c r="E386" s="378"/>
      <c r="F386" s="378"/>
      <c r="G386" s="378"/>
      <c r="H386" s="378"/>
      <c r="I386" s="378"/>
      <c r="J386" s="378"/>
      <c r="K386" s="378"/>
      <c r="L386" s="378"/>
      <c r="M386" s="378"/>
      <c r="N386" s="378"/>
      <c r="O386" s="378"/>
      <c r="P386" s="378"/>
      <c r="Q386" s="378"/>
      <c r="R386" s="378"/>
      <c r="S386" s="378"/>
      <c r="T386" s="378"/>
      <c r="U386" s="378"/>
      <c r="V386" s="378"/>
      <c r="W386" s="378"/>
      <c r="X386" s="378"/>
    </row>
    <row r="387" spans="2:24" ht="20.100000000000001" customHeight="1"/>
    <row r="388" spans="2:24" ht="10.15" customHeight="1"/>
    <row r="389" spans="2:24" ht="20.100000000000001" customHeight="1"/>
    <row r="390" spans="2:24" ht="20.100000000000001" customHeight="1"/>
    <row r="391" spans="2:24" ht="20.100000000000001" customHeight="1"/>
    <row r="392" spans="2:24" s="359" customFormat="1" ht="20.100000000000001" customHeight="1">
      <c r="B392" s="378"/>
      <c r="C392" s="378"/>
      <c r="D392" s="378"/>
      <c r="E392" s="378"/>
      <c r="F392" s="378"/>
      <c r="G392" s="378"/>
      <c r="H392" s="378"/>
      <c r="I392" s="378"/>
      <c r="J392" s="378"/>
      <c r="K392" s="378"/>
      <c r="L392" s="378"/>
      <c r="M392" s="378"/>
      <c r="N392" s="378"/>
      <c r="O392" s="378"/>
      <c r="P392" s="378"/>
      <c r="Q392" s="378"/>
      <c r="R392" s="378"/>
      <c r="S392" s="378"/>
      <c r="T392" s="378"/>
      <c r="U392" s="378"/>
      <c r="V392" s="378"/>
      <c r="W392" s="378"/>
      <c r="X392" s="378"/>
    </row>
    <row r="393" spans="2:24" s="359" customFormat="1" ht="20.100000000000001" customHeight="1">
      <c r="B393" s="378"/>
      <c r="C393" s="378"/>
      <c r="D393" s="378"/>
      <c r="E393" s="378"/>
      <c r="F393" s="378"/>
      <c r="G393" s="378"/>
      <c r="H393" s="378"/>
      <c r="I393" s="378"/>
      <c r="J393" s="378"/>
      <c r="K393" s="378"/>
      <c r="L393" s="378"/>
      <c r="M393" s="378"/>
      <c r="N393" s="378"/>
      <c r="O393" s="378"/>
      <c r="P393" s="378"/>
      <c r="Q393" s="378"/>
      <c r="R393" s="378"/>
      <c r="S393" s="378"/>
      <c r="T393" s="378"/>
      <c r="U393" s="378"/>
      <c r="V393" s="378"/>
      <c r="W393" s="378"/>
      <c r="X393" s="378"/>
    </row>
    <row r="394" spans="2:24" s="359" customFormat="1" ht="20.100000000000001" customHeight="1">
      <c r="B394" s="378"/>
      <c r="C394" s="378"/>
      <c r="D394" s="378"/>
      <c r="E394" s="378"/>
      <c r="F394" s="378"/>
      <c r="G394" s="378"/>
      <c r="H394" s="378"/>
      <c r="I394" s="378"/>
      <c r="J394" s="378"/>
      <c r="K394" s="378"/>
      <c r="L394" s="378"/>
      <c r="M394" s="378"/>
      <c r="N394" s="378"/>
      <c r="O394" s="378"/>
      <c r="P394" s="378"/>
      <c r="Q394" s="378"/>
      <c r="R394" s="378"/>
      <c r="S394" s="378"/>
      <c r="T394" s="378"/>
      <c r="U394" s="378"/>
      <c r="V394" s="378"/>
      <c r="W394" s="378"/>
      <c r="X394" s="378"/>
    </row>
    <row r="395" spans="2:24" s="359" customFormat="1" ht="20.100000000000001" customHeight="1">
      <c r="B395" s="378"/>
      <c r="C395" s="378"/>
      <c r="D395" s="378"/>
      <c r="E395" s="378"/>
      <c r="F395" s="378"/>
      <c r="G395" s="378"/>
      <c r="H395" s="378"/>
      <c r="I395" s="378"/>
      <c r="J395" s="378"/>
      <c r="K395" s="378"/>
      <c r="L395" s="378"/>
      <c r="M395" s="378"/>
      <c r="N395" s="378"/>
      <c r="O395" s="378"/>
      <c r="P395" s="378"/>
      <c r="Q395" s="378"/>
      <c r="R395" s="378"/>
      <c r="S395" s="378"/>
      <c r="T395" s="378"/>
      <c r="U395" s="378"/>
      <c r="V395" s="378"/>
      <c r="W395" s="378"/>
      <c r="X395" s="378"/>
    </row>
    <row r="396" spans="2:24" s="359" customFormat="1" ht="20.100000000000001" customHeight="1">
      <c r="B396" s="378"/>
      <c r="C396" s="378"/>
      <c r="D396" s="378"/>
      <c r="E396" s="378"/>
      <c r="F396" s="378"/>
      <c r="G396" s="378"/>
      <c r="H396" s="378"/>
      <c r="I396" s="378"/>
      <c r="J396" s="378"/>
      <c r="K396" s="378"/>
      <c r="L396" s="378"/>
      <c r="M396" s="378"/>
      <c r="N396" s="378"/>
      <c r="O396" s="378"/>
      <c r="P396" s="378"/>
      <c r="Q396" s="378"/>
      <c r="R396" s="378"/>
      <c r="S396" s="378"/>
      <c r="T396" s="378"/>
      <c r="U396" s="378"/>
      <c r="V396" s="378"/>
      <c r="W396" s="378"/>
      <c r="X396" s="378"/>
    </row>
    <row r="397" spans="2:24" s="359" customFormat="1" ht="20.100000000000001" customHeight="1">
      <c r="B397" s="378"/>
      <c r="C397" s="378"/>
      <c r="D397" s="378"/>
      <c r="E397" s="378"/>
      <c r="F397" s="378"/>
      <c r="G397" s="378"/>
      <c r="H397" s="378"/>
      <c r="I397" s="378"/>
      <c r="J397" s="378"/>
      <c r="K397" s="378"/>
      <c r="L397" s="378"/>
      <c r="M397" s="378"/>
      <c r="N397" s="378"/>
      <c r="O397" s="378"/>
      <c r="P397" s="378"/>
      <c r="Q397" s="378"/>
      <c r="R397" s="378"/>
      <c r="S397" s="378"/>
      <c r="T397" s="378"/>
      <c r="U397" s="378"/>
      <c r="V397" s="378"/>
      <c r="W397" s="378"/>
      <c r="X397" s="378"/>
    </row>
    <row r="398" spans="2:24" s="359" customFormat="1" ht="20.100000000000001" customHeight="1">
      <c r="B398" s="378"/>
      <c r="C398" s="378"/>
      <c r="D398" s="378"/>
      <c r="E398" s="378"/>
      <c r="F398" s="378"/>
      <c r="G398" s="378"/>
      <c r="H398" s="378"/>
      <c r="I398" s="378"/>
      <c r="J398" s="378"/>
      <c r="K398" s="378"/>
      <c r="L398" s="378"/>
      <c r="M398" s="378"/>
      <c r="N398" s="378"/>
      <c r="O398" s="378"/>
      <c r="P398" s="378"/>
      <c r="Q398" s="378"/>
      <c r="R398" s="378"/>
      <c r="S398" s="378"/>
      <c r="T398" s="378"/>
      <c r="U398" s="378"/>
      <c r="V398" s="378"/>
      <c r="W398" s="378"/>
      <c r="X398" s="378"/>
    </row>
    <row r="399" spans="2:24" s="359" customFormat="1" ht="20.100000000000001" customHeight="1">
      <c r="B399" s="378"/>
      <c r="C399" s="378"/>
      <c r="D399" s="378"/>
      <c r="E399" s="378"/>
      <c r="F399" s="378"/>
      <c r="G399" s="378"/>
      <c r="H399" s="378"/>
      <c r="I399" s="378"/>
      <c r="J399" s="378"/>
      <c r="K399" s="378"/>
      <c r="L399" s="378"/>
      <c r="M399" s="378"/>
      <c r="N399" s="378"/>
      <c r="O399" s="378"/>
      <c r="P399" s="378"/>
      <c r="Q399" s="378"/>
      <c r="R399" s="378"/>
      <c r="S399" s="378"/>
      <c r="T399" s="378"/>
      <c r="U399" s="378"/>
      <c r="V399" s="378"/>
      <c r="W399" s="378"/>
      <c r="X399" s="378"/>
    </row>
    <row r="400" spans="2:24" s="359" customFormat="1" ht="20.100000000000001" customHeight="1">
      <c r="B400" s="378"/>
      <c r="C400" s="378"/>
      <c r="D400" s="378"/>
      <c r="E400" s="378"/>
      <c r="F400" s="378"/>
      <c r="G400" s="378"/>
      <c r="H400" s="378"/>
      <c r="I400" s="378"/>
      <c r="J400" s="378"/>
      <c r="K400" s="378"/>
      <c r="L400" s="378"/>
      <c r="M400" s="378"/>
      <c r="N400" s="378"/>
      <c r="O400" s="378"/>
      <c r="P400" s="378"/>
      <c r="Q400" s="378"/>
      <c r="R400" s="378"/>
      <c r="S400" s="378"/>
      <c r="T400" s="378"/>
      <c r="U400" s="378"/>
      <c r="V400" s="378"/>
      <c r="W400" s="378"/>
      <c r="X400" s="378"/>
    </row>
    <row r="401" spans="2:24" s="359" customFormat="1" ht="20.100000000000001" customHeight="1">
      <c r="B401" s="378"/>
      <c r="C401" s="378"/>
      <c r="D401" s="378"/>
      <c r="E401" s="378"/>
      <c r="F401" s="378"/>
      <c r="G401" s="378"/>
      <c r="H401" s="378"/>
      <c r="I401" s="378"/>
      <c r="J401" s="378"/>
      <c r="K401" s="378"/>
      <c r="L401" s="378"/>
      <c r="M401" s="378"/>
      <c r="N401" s="378"/>
      <c r="O401" s="378"/>
      <c r="P401" s="378"/>
      <c r="Q401" s="378"/>
      <c r="R401" s="378"/>
      <c r="S401" s="378"/>
      <c r="T401" s="378"/>
      <c r="U401" s="378"/>
      <c r="V401" s="378"/>
      <c r="W401" s="378"/>
      <c r="X401" s="378"/>
    </row>
    <row r="402" spans="2:24" s="359" customFormat="1" ht="20.100000000000001" customHeight="1">
      <c r="B402" s="378"/>
      <c r="C402" s="378"/>
      <c r="D402" s="378"/>
      <c r="E402" s="378"/>
      <c r="F402" s="378"/>
      <c r="G402" s="378"/>
      <c r="H402" s="378"/>
      <c r="I402" s="378"/>
      <c r="J402" s="378"/>
      <c r="K402" s="378"/>
      <c r="L402" s="378"/>
      <c r="M402" s="378"/>
      <c r="N402" s="378"/>
      <c r="O402" s="378"/>
      <c r="P402" s="378"/>
      <c r="Q402" s="378"/>
      <c r="R402" s="378"/>
      <c r="S402" s="378"/>
      <c r="T402" s="378"/>
      <c r="U402" s="378"/>
      <c r="V402" s="378"/>
      <c r="W402" s="378"/>
      <c r="X402" s="378"/>
    </row>
    <row r="403" spans="2:24" s="359" customFormat="1" ht="20.100000000000001" customHeight="1">
      <c r="B403" s="378"/>
      <c r="C403" s="378"/>
      <c r="D403" s="378"/>
      <c r="E403" s="378"/>
      <c r="F403" s="378"/>
      <c r="G403" s="378"/>
      <c r="H403" s="378"/>
      <c r="I403" s="378"/>
      <c r="J403" s="378"/>
      <c r="K403" s="378"/>
      <c r="L403" s="378"/>
      <c r="M403" s="378"/>
      <c r="N403" s="378"/>
      <c r="O403" s="378"/>
      <c r="P403" s="378"/>
      <c r="Q403" s="378"/>
      <c r="R403" s="378"/>
      <c r="S403" s="378"/>
      <c r="T403" s="378"/>
      <c r="U403" s="378"/>
      <c r="V403" s="378"/>
      <c r="W403" s="378"/>
      <c r="X403" s="378"/>
    </row>
    <row r="404" spans="2:24" s="359" customFormat="1" ht="20.100000000000001" customHeight="1">
      <c r="B404" s="378"/>
      <c r="C404" s="378"/>
      <c r="D404" s="378"/>
      <c r="E404" s="378"/>
      <c r="F404" s="378"/>
      <c r="G404" s="378"/>
      <c r="H404" s="378"/>
      <c r="I404" s="378"/>
      <c r="J404" s="378"/>
      <c r="K404" s="378"/>
      <c r="L404" s="378"/>
      <c r="M404" s="378"/>
      <c r="N404" s="378"/>
      <c r="O404" s="378"/>
      <c r="P404" s="378"/>
      <c r="Q404" s="378"/>
      <c r="R404" s="378"/>
      <c r="S404" s="378"/>
      <c r="T404" s="378"/>
      <c r="U404" s="378"/>
      <c r="V404" s="378"/>
      <c r="W404" s="378"/>
      <c r="X404" s="378"/>
    </row>
    <row r="405" spans="2:24" s="359" customFormat="1" ht="20.100000000000001" customHeight="1">
      <c r="B405" s="378"/>
      <c r="C405" s="378"/>
      <c r="D405" s="378"/>
      <c r="E405" s="378"/>
      <c r="F405" s="378"/>
      <c r="G405" s="378"/>
      <c r="H405" s="378"/>
      <c r="I405" s="378"/>
      <c r="J405" s="378"/>
      <c r="K405" s="378"/>
      <c r="L405" s="378"/>
      <c r="M405" s="378"/>
      <c r="N405" s="378"/>
      <c r="O405" s="378"/>
      <c r="P405" s="378"/>
      <c r="Q405" s="378"/>
      <c r="R405" s="378"/>
      <c r="S405" s="378"/>
      <c r="T405" s="378"/>
      <c r="U405" s="378"/>
      <c r="V405" s="378"/>
      <c r="W405" s="378"/>
      <c r="X405" s="378"/>
    </row>
    <row r="406" spans="2:24" s="359" customFormat="1" ht="20.100000000000001" customHeight="1">
      <c r="B406" s="378"/>
      <c r="C406" s="378"/>
      <c r="D406" s="378"/>
      <c r="E406" s="378"/>
      <c r="F406" s="378"/>
      <c r="G406" s="378"/>
      <c r="H406" s="378"/>
      <c r="I406" s="378"/>
      <c r="J406" s="378"/>
      <c r="K406" s="378"/>
      <c r="L406" s="378"/>
      <c r="M406" s="378"/>
      <c r="N406" s="378"/>
      <c r="O406" s="378"/>
      <c r="P406" s="378"/>
      <c r="Q406" s="378"/>
      <c r="R406" s="378"/>
      <c r="S406" s="378"/>
      <c r="T406" s="378"/>
      <c r="U406" s="378"/>
      <c r="V406" s="378"/>
      <c r="W406" s="378"/>
      <c r="X406" s="378"/>
    </row>
    <row r="407" spans="2:24" s="359" customFormat="1" ht="20.100000000000001" customHeight="1">
      <c r="B407" s="378"/>
      <c r="C407" s="378"/>
      <c r="D407" s="378"/>
      <c r="E407" s="378"/>
      <c r="F407" s="378"/>
      <c r="G407" s="378"/>
      <c r="H407" s="378"/>
      <c r="I407" s="378"/>
      <c r="J407" s="378"/>
      <c r="K407" s="378"/>
      <c r="L407" s="378"/>
      <c r="M407" s="378"/>
      <c r="N407" s="378"/>
      <c r="O407" s="378"/>
      <c r="P407" s="378"/>
      <c r="Q407" s="378"/>
      <c r="R407" s="378"/>
      <c r="S407" s="378"/>
      <c r="T407" s="378"/>
      <c r="U407" s="378"/>
      <c r="V407" s="378"/>
      <c r="W407" s="378"/>
      <c r="X407" s="378"/>
    </row>
    <row r="408" spans="2:24" s="359" customFormat="1" ht="20.100000000000001" customHeight="1">
      <c r="B408" s="378"/>
      <c r="C408" s="378"/>
      <c r="D408" s="378"/>
      <c r="E408" s="378"/>
      <c r="F408" s="378"/>
      <c r="G408" s="378"/>
      <c r="H408" s="378"/>
      <c r="I408" s="378"/>
      <c r="J408" s="378"/>
      <c r="K408" s="378"/>
      <c r="L408" s="378"/>
      <c r="M408" s="378"/>
      <c r="N408" s="378"/>
      <c r="O408" s="378"/>
      <c r="P408" s="378"/>
      <c r="Q408" s="378"/>
      <c r="R408" s="378"/>
      <c r="S408" s="378"/>
      <c r="T408" s="378"/>
      <c r="U408" s="378"/>
      <c r="V408" s="378"/>
      <c r="W408" s="378"/>
      <c r="X408" s="378"/>
    </row>
    <row r="409" spans="2:24" s="359" customFormat="1" ht="20.100000000000001" customHeight="1">
      <c r="B409" s="378"/>
      <c r="C409" s="378"/>
      <c r="D409" s="378"/>
      <c r="E409" s="378"/>
      <c r="F409" s="378"/>
      <c r="G409" s="378"/>
      <c r="H409" s="378"/>
      <c r="I409" s="378"/>
      <c r="J409" s="378"/>
      <c r="K409" s="378"/>
      <c r="L409" s="378"/>
      <c r="M409" s="378"/>
      <c r="N409" s="378"/>
      <c r="O409" s="378"/>
      <c r="P409" s="378"/>
      <c r="Q409" s="378"/>
      <c r="R409" s="378"/>
      <c r="S409" s="378"/>
      <c r="T409" s="378"/>
      <c r="U409" s="378"/>
      <c r="V409" s="378"/>
      <c r="W409" s="378"/>
      <c r="X409" s="378"/>
    </row>
    <row r="410" spans="2:24" s="359" customFormat="1" ht="20.100000000000001" customHeight="1">
      <c r="B410" s="378"/>
      <c r="C410" s="378"/>
      <c r="D410" s="378"/>
      <c r="E410" s="378"/>
      <c r="F410" s="378"/>
      <c r="G410" s="378"/>
      <c r="H410" s="378"/>
      <c r="I410" s="378"/>
      <c r="J410" s="378"/>
      <c r="K410" s="378"/>
      <c r="L410" s="378"/>
      <c r="M410" s="378"/>
      <c r="N410" s="378"/>
      <c r="O410" s="378"/>
      <c r="P410" s="378"/>
      <c r="Q410" s="378"/>
      <c r="R410" s="378"/>
      <c r="S410" s="378"/>
      <c r="T410" s="378"/>
      <c r="U410" s="378"/>
      <c r="V410" s="378"/>
      <c r="W410" s="378"/>
      <c r="X410" s="378"/>
    </row>
    <row r="411" spans="2:24" s="359" customFormat="1" ht="20.100000000000001" customHeight="1">
      <c r="B411" s="378"/>
      <c r="C411" s="378"/>
      <c r="D411" s="378"/>
      <c r="E411" s="378"/>
      <c r="F411" s="378"/>
      <c r="G411" s="378"/>
      <c r="H411" s="378"/>
      <c r="I411" s="378"/>
      <c r="J411" s="378"/>
      <c r="K411" s="378"/>
      <c r="L411" s="378"/>
      <c r="M411" s="378"/>
      <c r="N411" s="378"/>
      <c r="O411" s="378"/>
      <c r="P411" s="378"/>
      <c r="Q411" s="378"/>
      <c r="R411" s="378"/>
      <c r="S411" s="378"/>
      <c r="T411" s="378"/>
      <c r="U411" s="378"/>
      <c r="V411" s="378"/>
      <c r="W411" s="378"/>
      <c r="X411" s="378"/>
    </row>
    <row r="412" spans="2:24" s="359" customFormat="1" ht="20.100000000000001" customHeight="1">
      <c r="B412" s="378"/>
      <c r="C412" s="378"/>
      <c r="D412" s="378"/>
      <c r="E412" s="378"/>
      <c r="F412" s="378"/>
      <c r="G412" s="378"/>
      <c r="H412" s="378"/>
      <c r="I412" s="378"/>
      <c r="J412" s="378"/>
      <c r="K412" s="378"/>
      <c r="L412" s="378"/>
      <c r="M412" s="378"/>
      <c r="N412" s="378"/>
      <c r="O412" s="378"/>
      <c r="P412" s="378"/>
      <c r="Q412" s="378"/>
      <c r="R412" s="378"/>
      <c r="S412" s="378"/>
      <c r="T412" s="378"/>
      <c r="U412" s="378"/>
      <c r="V412" s="378"/>
      <c r="W412" s="378"/>
      <c r="X412" s="378"/>
    </row>
    <row r="413" spans="2:24" s="359" customFormat="1" ht="20.100000000000001" customHeight="1">
      <c r="B413" s="378"/>
      <c r="C413" s="378"/>
      <c r="D413" s="378"/>
      <c r="E413" s="378"/>
      <c r="F413" s="378"/>
      <c r="G413" s="378"/>
      <c r="H413" s="378"/>
      <c r="I413" s="378"/>
      <c r="J413" s="378"/>
      <c r="K413" s="378"/>
      <c r="L413" s="378"/>
      <c r="M413" s="378"/>
      <c r="N413" s="378"/>
      <c r="O413" s="378"/>
      <c r="P413" s="378"/>
      <c r="Q413" s="378"/>
      <c r="R413" s="378"/>
      <c r="S413" s="378"/>
      <c r="T413" s="378"/>
      <c r="U413" s="378"/>
      <c r="V413" s="378"/>
      <c r="W413" s="378"/>
      <c r="X413" s="378"/>
    </row>
    <row r="414" spans="2:24" s="359" customFormat="1" ht="20.100000000000001" customHeight="1">
      <c r="B414" s="378"/>
      <c r="C414" s="378"/>
      <c r="D414" s="378"/>
      <c r="E414" s="378"/>
      <c r="F414" s="378"/>
      <c r="G414" s="378"/>
      <c r="H414" s="378"/>
      <c r="I414" s="378"/>
      <c r="J414" s="378"/>
      <c r="K414" s="378"/>
      <c r="L414" s="378"/>
      <c r="M414" s="378"/>
      <c r="N414" s="378"/>
      <c r="O414" s="378"/>
      <c r="P414" s="378"/>
      <c r="Q414" s="378"/>
      <c r="R414" s="378"/>
      <c r="S414" s="378"/>
      <c r="T414" s="378"/>
      <c r="U414" s="378"/>
      <c r="V414" s="378"/>
      <c r="W414" s="378"/>
      <c r="X414" s="378"/>
    </row>
    <row r="415" spans="2:24" s="359" customFormat="1" ht="20.100000000000001" customHeight="1">
      <c r="B415" s="378"/>
      <c r="C415" s="378"/>
      <c r="D415" s="378"/>
      <c r="E415" s="378"/>
      <c r="F415" s="378"/>
      <c r="G415" s="378"/>
      <c r="H415" s="378"/>
      <c r="I415" s="378"/>
      <c r="J415" s="378"/>
      <c r="K415" s="378"/>
      <c r="L415" s="378"/>
      <c r="M415" s="378"/>
      <c r="N415" s="378"/>
      <c r="O415" s="378"/>
      <c r="P415" s="378"/>
      <c r="Q415" s="378"/>
      <c r="R415" s="378"/>
      <c r="S415" s="378"/>
      <c r="T415" s="378"/>
      <c r="U415" s="378"/>
      <c r="V415" s="378"/>
      <c r="W415" s="378"/>
      <c r="X415" s="378"/>
    </row>
    <row r="416" spans="2:24" s="359" customFormat="1" ht="20.100000000000001" customHeight="1">
      <c r="B416" s="378"/>
      <c r="C416" s="378"/>
      <c r="D416" s="378"/>
      <c r="E416" s="378"/>
      <c r="F416" s="378"/>
      <c r="G416" s="378"/>
      <c r="H416" s="378"/>
      <c r="I416" s="378"/>
      <c r="J416" s="378"/>
      <c r="K416" s="378"/>
      <c r="L416" s="378"/>
      <c r="M416" s="378"/>
      <c r="N416" s="378"/>
      <c r="O416" s="378"/>
      <c r="P416" s="378"/>
      <c r="Q416" s="378"/>
      <c r="R416" s="378"/>
      <c r="S416" s="378"/>
      <c r="T416" s="378"/>
      <c r="U416" s="378"/>
      <c r="V416" s="378"/>
      <c r="W416" s="378"/>
      <c r="X416" s="378"/>
    </row>
    <row r="417" spans="2:24" s="359" customFormat="1" ht="20.100000000000001" customHeight="1">
      <c r="B417" s="378"/>
      <c r="C417" s="378"/>
      <c r="D417" s="378"/>
      <c r="E417" s="378"/>
      <c r="F417" s="378"/>
      <c r="G417" s="378"/>
      <c r="H417" s="378"/>
      <c r="I417" s="378"/>
      <c r="J417" s="378"/>
      <c r="K417" s="378"/>
      <c r="L417" s="378"/>
      <c r="M417" s="378"/>
      <c r="N417" s="378"/>
      <c r="O417" s="378"/>
      <c r="P417" s="378"/>
      <c r="Q417" s="378"/>
      <c r="R417" s="378"/>
      <c r="S417" s="378"/>
      <c r="T417" s="378"/>
      <c r="U417" s="378"/>
      <c r="V417" s="378"/>
      <c r="W417" s="378"/>
      <c r="X417" s="378"/>
    </row>
    <row r="418" spans="2:24" s="359" customFormat="1" ht="20.100000000000001" customHeight="1">
      <c r="B418" s="378"/>
      <c r="C418" s="378"/>
      <c r="D418" s="378"/>
      <c r="E418" s="378"/>
      <c r="F418" s="378"/>
      <c r="G418" s="378"/>
      <c r="H418" s="378"/>
      <c r="I418" s="378"/>
      <c r="J418" s="378"/>
      <c r="K418" s="378"/>
      <c r="L418" s="378"/>
      <c r="M418" s="378"/>
      <c r="N418" s="378"/>
      <c r="O418" s="378"/>
      <c r="P418" s="378"/>
      <c r="Q418" s="378"/>
      <c r="R418" s="378"/>
      <c r="S418" s="378"/>
      <c r="T418" s="378"/>
      <c r="U418" s="378"/>
      <c r="V418" s="378"/>
      <c r="W418" s="378"/>
      <c r="X418" s="378"/>
    </row>
    <row r="419" spans="2:24" s="359" customFormat="1" ht="20.100000000000001" customHeight="1">
      <c r="B419" s="378"/>
      <c r="C419" s="378"/>
      <c r="D419" s="378"/>
      <c r="E419" s="378"/>
      <c r="F419" s="378"/>
      <c r="G419" s="378"/>
      <c r="H419" s="378"/>
      <c r="I419" s="378"/>
      <c r="J419" s="378"/>
      <c r="K419" s="378"/>
      <c r="L419" s="378"/>
      <c r="M419" s="378"/>
      <c r="N419" s="378"/>
      <c r="O419" s="378"/>
      <c r="P419" s="378"/>
      <c r="Q419" s="378"/>
      <c r="R419" s="378"/>
      <c r="S419" s="378"/>
      <c r="T419" s="378"/>
      <c r="U419" s="378"/>
      <c r="V419" s="378"/>
      <c r="W419" s="378"/>
      <c r="X419" s="378"/>
    </row>
    <row r="420" spans="2:24" s="359" customFormat="1" ht="20.100000000000001" customHeight="1">
      <c r="B420" s="378"/>
      <c r="C420" s="378"/>
      <c r="D420" s="378"/>
      <c r="E420" s="378"/>
      <c r="F420" s="378"/>
      <c r="G420" s="378"/>
      <c r="H420" s="378"/>
      <c r="I420" s="378"/>
      <c r="J420" s="378"/>
      <c r="K420" s="378"/>
      <c r="L420" s="378"/>
      <c r="M420" s="378"/>
      <c r="N420" s="378"/>
      <c r="O420" s="378"/>
      <c r="P420" s="378"/>
      <c r="Q420" s="378"/>
      <c r="R420" s="378"/>
      <c r="S420" s="378"/>
      <c r="T420" s="378"/>
      <c r="U420" s="378"/>
      <c r="V420" s="378"/>
      <c r="W420" s="378"/>
      <c r="X420" s="378"/>
    </row>
    <row r="421" spans="2:24" s="359" customFormat="1" ht="20.100000000000001" customHeight="1">
      <c r="B421" s="378"/>
      <c r="C421" s="378"/>
      <c r="D421" s="378"/>
      <c r="E421" s="378"/>
      <c r="F421" s="378"/>
      <c r="G421" s="378"/>
      <c r="H421" s="378"/>
      <c r="I421" s="378"/>
      <c r="J421" s="378"/>
      <c r="K421" s="378"/>
      <c r="L421" s="378"/>
      <c r="M421" s="378"/>
      <c r="N421" s="378"/>
      <c r="O421" s="378"/>
      <c r="P421" s="378"/>
      <c r="Q421" s="378"/>
      <c r="R421" s="378"/>
      <c r="S421" s="378"/>
      <c r="T421" s="378"/>
      <c r="U421" s="378"/>
      <c r="V421" s="378"/>
      <c r="W421" s="378"/>
      <c r="X421" s="378"/>
    </row>
    <row r="422" spans="2:24" s="359" customFormat="1" ht="20.100000000000001" customHeight="1">
      <c r="B422" s="378"/>
      <c r="C422" s="378"/>
      <c r="D422" s="378"/>
      <c r="E422" s="378"/>
      <c r="F422" s="378"/>
      <c r="G422" s="378"/>
      <c r="H422" s="378"/>
      <c r="I422" s="378"/>
      <c r="J422" s="378"/>
      <c r="K422" s="378"/>
      <c r="L422" s="378"/>
      <c r="M422" s="378"/>
      <c r="N422" s="378"/>
      <c r="O422" s="378"/>
      <c r="P422" s="378"/>
      <c r="Q422" s="378"/>
      <c r="R422" s="378"/>
      <c r="S422" s="378"/>
      <c r="T422" s="378"/>
      <c r="U422" s="378"/>
      <c r="V422" s="378"/>
      <c r="W422" s="378"/>
      <c r="X422" s="378"/>
    </row>
    <row r="423" spans="2:24" s="359" customFormat="1" ht="20.100000000000001" customHeight="1">
      <c r="B423" s="378"/>
      <c r="C423" s="378"/>
      <c r="D423" s="378"/>
      <c r="E423" s="378"/>
      <c r="F423" s="378"/>
      <c r="G423" s="378"/>
      <c r="H423" s="378"/>
      <c r="I423" s="378"/>
      <c r="J423" s="378"/>
      <c r="K423" s="378"/>
      <c r="L423" s="378"/>
      <c r="M423" s="378"/>
      <c r="N423" s="378"/>
      <c r="O423" s="378"/>
      <c r="P423" s="378"/>
      <c r="Q423" s="378"/>
      <c r="R423" s="378"/>
      <c r="S423" s="378"/>
      <c r="T423" s="378"/>
      <c r="U423" s="378"/>
      <c r="V423" s="378"/>
      <c r="W423" s="378"/>
      <c r="X423" s="378"/>
    </row>
    <row r="424" spans="2:24" s="359" customFormat="1" ht="20.100000000000001" customHeight="1">
      <c r="B424" s="378"/>
      <c r="C424" s="378"/>
      <c r="D424" s="378"/>
      <c r="E424" s="378"/>
      <c r="F424" s="378"/>
      <c r="G424" s="378"/>
      <c r="H424" s="378"/>
      <c r="I424" s="378"/>
      <c r="J424" s="378"/>
      <c r="K424" s="378"/>
      <c r="L424" s="378"/>
      <c r="M424" s="378"/>
      <c r="N424" s="378"/>
      <c r="O424" s="378"/>
      <c r="P424" s="378"/>
      <c r="Q424" s="378"/>
      <c r="R424" s="378"/>
      <c r="S424" s="378"/>
      <c r="T424" s="378"/>
      <c r="U424" s="378"/>
      <c r="V424" s="378"/>
      <c r="W424" s="378"/>
      <c r="X424" s="378"/>
    </row>
    <row r="425" spans="2:24" s="359" customFormat="1" ht="20.100000000000001" customHeight="1">
      <c r="B425" s="378"/>
      <c r="C425" s="378"/>
      <c r="D425" s="378"/>
      <c r="E425" s="378"/>
      <c r="F425" s="378"/>
      <c r="G425" s="378"/>
      <c r="H425" s="378"/>
      <c r="I425" s="378"/>
      <c r="J425" s="378"/>
      <c r="K425" s="378"/>
      <c r="L425" s="378"/>
      <c r="M425" s="378"/>
      <c r="N425" s="378"/>
      <c r="O425" s="378"/>
      <c r="P425" s="378"/>
      <c r="Q425" s="378"/>
      <c r="R425" s="378"/>
      <c r="S425" s="378"/>
      <c r="T425" s="378"/>
      <c r="U425" s="378"/>
      <c r="V425" s="378"/>
      <c r="W425" s="378"/>
      <c r="X425" s="378"/>
    </row>
    <row r="426" spans="2:24" s="359" customFormat="1" ht="20.100000000000001" customHeight="1">
      <c r="B426" s="378"/>
      <c r="C426" s="378"/>
      <c r="D426" s="378"/>
      <c r="E426" s="378"/>
      <c r="F426" s="378"/>
      <c r="G426" s="378"/>
      <c r="H426" s="378"/>
      <c r="I426" s="378"/>
      <c r="J426" s="378"/>
      <c r="K426" s="378"/>
      <c r="L426" s="378"/>
      <c r="M426" s="378"/>
      <c r="N426" s="378"/>
      <c r="O426" s="378"/>
      <c r="P426" s="378"/>
      <c r="Q426" s="378"/>
      <c r="R426" s="378"/>
      <c r="S426" s="378"/>
      <c r="T426" s="378"/>
      <c r="U426" s="378"/>
      <c r="V426" s="378"/>
      <c r="W426" s="378"/>
      <c r="X426" s="378"/>
    </row>
    <row r="427" spans="2:24" s="359" customFormat="1" ht="20.100000000000001" customHeight="1">
      <c r="B427" s="378"/>
      <c r="C427" s="378"/>
      <c r="D427" s="378"/>
      <c r="E427" s="378"/>
      <c r="F427" s="378"/>
      <c r="G427" s="378"/>
      <c r="H427" s="378"/>
      <c r="I427" s="378"/>
      <c r="J427" s="378"/>
      <c r="K427" s="378"/>
      <c r="L427" s="378"/>
      <c r="M427" s="378"/>
      <c r="N427" s="378"/>
      <c r="O427" s="378"/>
      <c r="P427" s="378"/>
      <c r="Q427" s="378"/>
      <c r="R427" s="378"/>
      <c r="S427" s="378"/>
      <c r="T427" s="378"/>
      <c r="U427" s="378"/>
      <c r="V427" s="378"/>
      <c r="W427" s="378"/>
      <c r="X427" s="378"/>
    </row>
    <row r="428" spans="2:24" s="359" customFormat="1" ht="20.100000000000001" customHeight="1">
      <c r="B428" s="378"/>
      <c r="C428" s="378"/>
      <c r="D428" s="378"/>
      <c r="E428" s="378"/>
      <c r="F428" s="378"/>
      <c r="G428" s="378"/>
      <c r="H428" s="378"/>
      <c r="I428" s="378"/>
      <c r="J428" s="378"/>
      <c r="K428" s="378"/>
      <c r="L428" s="378"/>
      <c r="M428" s="378"/>
      <c r="N428" s="378"/>
      <c r="O428" s="378"/>
      <c r="P428" s="378"/>
      <c r="Q428" s="378"/>
      <c r="R428" s="378"/>
      <c r="S428" s="378"/>
      <c r="T428" s="378"/>
      <c r="U428" s="378"/>
      <c r="V428" s="378"/>
      <c r="W428" s="378"/>
      <c r="X428" s="378"/>
    </row>
    <row r="429" spans="2:24" ht="20.100000000000001" customHeight="1"/>
    <row r="430" spans="2:24" ht="10.15" customHeight="1"/>
    <row r="431" spans="2:24" ht="20.100000000000001" customHeight="1"/>
    <row r="432" spans="2:24" ht="20.100000000000001" customHeight="1"/>
    <row r="433" spans="2:24" ht="20.100000000000001" customHeight="1"/>
    <row r="434" spans="2:24" s="359" customFormat="1" ht="20.100000000000001" customHeight="1">
      <c r="B434" s="378"/>
      <c r="C434" s="378"/>
      <c r="D434" s="378"/>
      <c r="E434" s="378"/>
      <c r="F434" s="378"/>
      <c r="G434" s="378"/>
      <c r="H434" s="378"/>
      <c r="I434" s="378"/>
      <c r="J434" s="378"/>
      <c r="K434" s="378"/>
      <c r="L434" s="378"/>
      <c r="M434" s="378"/>
      <c r="N434" s="378"/>
      <c r="O434" s="378"/>
      <c r="P434" s="378"/>
      <c r="Q434" s="378"/>
      <c r="R434" s="378"/>
      <c r="S434" s="378"/>
      <c r="T434" s="378"/>
      <c r="U434" s="378"/>
      <c r="V434" s="378"/>
      <c r="W434" s="378"/>
      <c r="X434" s="378"/>
    </row>
    <row r="435" spans="2:24" s="359" customFormat="1" ht="20.100000000000001" customHeight="1">
      <c r="B435" s="378"/>
      <c r="C435" s="378"/>
      <c r="D435" s="378"/>
      <c r="E435" s="378"/>
      <c r="F435" s="378"/>
      <c r="G435" s="378"/>
      <c r="H435" s="378"/>
      <c r="I435" s="378"/>
      <c r="J435" s="378"/>
      <c r="K435" s="378"/>
      <c r="L435" s="378"/>
      <c r="M435" s="378"/>
      <c r="N435" s="378"/>
      <c r="O435" s="378"/>
      <c r="P435" s="378"/>
      <c r="Q435" s="378"/>
      <c r="R435" s="378"/>
      <c r="S435" s="378"/>
      <c r="T435" s="378"/>
      <c r="U435" s="378"/>
      <c r="V435" s="378"/>
      <c r="W435" s="378"/>
      <c r="X435" s="378"/>
    </row>
    <row r="436" spans="2:24" s="359" customFormat="1" ht="20.100000000000001" customHeight="1">
      <c r="B436" s="378"/>
      <c r="C436" s="378"/>
      <c r="D436" s="378"/>
      <c r="E436" s="378"/>
      <c r="F436" s="378"/>
      <c r="G436" s="378"/>
      <c r="H436" s="378"/>
      <c r="I436" s="378"/>
      <c r="J436" s="378"/>
      <c r="K436" s="378"/>
      <c r="L436" s="378"/>
      <c r="M436" s="378"/>
      <c r="N436" s="378"/>
      <c r="O436" s="378"/>
      <c r="P436" s="378"/>
      <c r="Q436" s="378"/>
      <c r="R436" s="378"/>
      <c r="S436" s="378"/>
      <c r="T436" s="378"/>
      <c r="U436" s="378"/>
      <c r="V436" s="378"/>
      <c r="W436" s="378"/>
      <c r="X436" s="378"/>
    </row>
    <row r="437" spans="2:24" s="359" customFormat="1" ht="20.100000000000001" customHeight="1">
      <c r="B437" s="378"/>
      <c r="C437" s="378"/>
      <c r="D437" s="378"/>
      <c r="E437" s="378"/>
      <c r="F437" s="378"/>
      <c r="G437" s="378"/>
      <c r="H437" s="378"/>
      <c r="I437" s="378"/>
      <c r="J437" s="378"/>
      <c r="K437" s="378"/>
      <c r="L437" s="378"/>
      <c r="M437" s="378"/>
      <c r="N437" s="378"/>
      <c r="O437" s="378"/>
      <c r="P437" s="378"/>
      <c r="Q437" s="378"/>
      <c r="R437" s="378"/>
      <c r="S437" s="378"/>
      <c r="T437" s="378"/>
      <c r="U437" s="378"/>
      <c r="V437" s="378"/>
      <c r="W437" s="378"/>
      <c r="X437" s="378"/>
    </row>
    <row r="438" spans="2:24" s="359" customFormat="1" ht="20.100000000000001" customHeight="1">
      <c r="B438" s="378"/>
      <c r="C438" s="378"/>
      <c r="D438" s="378"/>
      <c r="E438" s="378"/>
      <c r="F438" s="378"/>
      <c r="G438" s="378"/>
      <c r="H438" s="378"/>
      <c r="I438" s="378"/>
      <c r="J438" s="378"/>
      <c r="K438" s="378"/>
      <c r="L438" s="378"/>
      <c r="M438" s="378"/>
      <c r="N438" s="378"/>
      <c r="O438" s="378"/>
      <c r="P438" s="378"/>
      <c r="Q438" s="378"/>
      <c r="R438" s="378"/>
      <c r="S438" s="378"/>
      <c r="T438" s="378"/>
      <c r="U438" s="378"/>
      <c r="V438" s="378"/>
      <c r="W438" s="378"/>
      <c r="X438" s="378"/>
    </row>
    <row r="439" spans="2:24" s="359" customFormat="1" ht="20.100000000000001" customHeight="1">
      <c r="B439" s="378"/>
      <c r="C439" s="378"/>
      <c r="D439" s="378"/>
      <c r="E439" s="378"/>
      <c r="F439" s="378"/>
      <c r="G439" s="378"/>
      <c r="H439" s="378"/>
      <c r="I439" s="378"/>
      <c r="J439" s="378"/>
      <c r="K439" s="378"/>
      <c r="L439" s="378"/>
      <c r="M439" s="378"/>
      <c r="N439" s="378"/>
      <c r="O439" s="378"/>
      <c r="P439" s="378"/>
      <c r="Q439" s="378"/>
      <c r="R439" s="378"/>
      <c r="S439" s="378"/>
      <c r="T439" s="378"/>
      <c r="U439" s="378"/>
      <c r="V439" s="378"/>
      <c r="W439" s="378"/>
      <c r="X439" s="378"/>
    </row>
    <row r="440" spans="2:24" s="359" customFormat="1" ht="20.100000000000001" customHeight="1">
      <c r="B440" s="378"/>
      <c r="C440" s="378"/>
      <c r="D440" s="378"/>
      <c r="E440" s="378"/>
      <c r="F440" s="378"/>
      <c r="G440" s="378"/>
      <c r="H440" s="378"/>
      <c r="I440" s="378"/>
      <c r="J440" s="378"/>
      <c r="K440" s="378"/>
      <c r="L440" s="378"/>
      <c r="M440" s="378"/>
      <c r="N440" s="378"/>
      <c r="O440" s="378"/>
      <c r="P440" s="378"/>
      <c r="Q440" s="378"/>
      <c r="R440" s="378"/>
      <c r="S440" s="378"/>
      <c r="T440" s="378"/>
      <c r="U440" s="378"/>
      <c r="V440" s="378"/>
      <c r="W440" s="378"/>
      <c r="X440" s="378"/>
    </row>
    <row r="441" spans="2:24" s="359" customFormat="1" ht="20.100000000000001" customHeight="1">
      <c r="B441" s="378"/>
      <c r="C441" s="378"/>
      <c r="D441" s="378"/>
      <c r="E441" s="378"/>
      <c r="F441" s="378"/>
      <c r="G441" s="378"/>
      <c r="H441" s="378"/>
      <c r="I441" s="378"/>
      <c r="J441" s="378"/>
      <c r="K441" s="378"/>
      <c r="L441" s="378"/>
      <c r="M441" s="378"/>
      <c r="N441" s="378"/>
      <c r="O441" s="378"/>
      <c r="P441" s="378"/>
      <c r="Q441" s="378"/>
      <c r="R441" s="378"/>
      <c r="S441" s="378"/>
      <c r="T441" s="378"/>
      <c r="U441" s="378"/>
      <c r="V441" s="378"/>
      <c r="W441" s="378"/>
      <c r="X441" s="378"/>
    </row>
    <row r="442" spans="2:24" s="359" customFormat="1" ht="20.100000000000001" customHeight="1">
      <c r="B442" s="378"/>
      <c r="C442" s="378"/>
      <c r="D442" s="378"/>
      <c r="E442" s="378"/>
      <c r="F442" s="378"/>
      <c r="G442" s="378"/>
      <c r="H442" s="378"/>
      <c r="I442" s="378"/>
      <c r="J442" s="378"/>
      <c r="K442" s="378"/>
      <c r="L442" s="378"/>
      <c r="M442" s="378"/>
      <c r="N442" s="378"/>
      <c r="O442" s="378"/>
      <c r="P442" s="378"/>
      <c r="Q442" s="378"/>
      <c r="R442" s="378"/>
      <c r="S442" s="378"/>
      <c r="T442" s="378"/>
      <c r="U442" s="378"/>
      <c r="V442" s="378"/>
      <c r="W442" s="378"/>
      <c r="X442" s="378"/>
    </row>
    <row r="443" spans="2:24" s="359" customFormat="1" ht="20.100000000000001" customHeight="1">
      <c r="B443" s="378"/>
      <c r="C443" s="378"/>
      <c r="D443" s="378"/>
      <c r="E443" s="378"/>
      <c r="F443" s="378"/>
      <c r="G443" s="378"/>
      <c r="H443" s="378"/>
      <c r="I443" s="378"/>
      <c r="J443" s="378"/>
      <c r="K443" s="378"/>
      <c r="L443" s="378"/>
      <c r="M443" s="378"/>
      <c r="N443" s="378"/>
      <c r="O443" s="378"/>
      <c r="P443" s="378"/>
      <c r="Q443" s="378"/>
      <c r="R443" s="378"/>
      <c r="S443" s="378"/>
      <c r="T443" s="378"/>
      <c r="U443" s="378"/>
      <c r="V443" s="378"/>
      <c r="W443" s="378"/>
      <c r="X443" s="378"/>
    </row>
    <row r="444" spans="2:24" s="359" customFormat="1" ht="20.100000000000001" customHeight="1">
      <c r="B444" s="378"/>
      <c r="C444" s="378"/>
      <c r="D444" s="378"/>
      <c r="E444" s="378"/>
      <c r="F444" s="378"/>
      <c r="G444" s="378"/>
      <c r="H444" s="378"/>
      <c r="I444" s="378"/>
      <c r="J444" s="378"/>
      <c r="K444" s="378"/>
      <c r="L444" s="378"/>
      <c r="M444" s="378"/>
      <c r="N444" s="378"/>
      <c r="O444" s="378"/>
      <c r="P444" s="378"/>
      <c r="Q444" s="378"/>
      <c r="R444" s="378"/>
      <c r="S444" s="378"/>
      <c r="T444" s="378"/>
      <c r="U444" s="378"/>
      <c r="V444" s="378"/>
      <c r="W444" s="378"/>
      <c r="X444" s="378"/>
    </row>
    <row r="445" spans="2:24" s="359" customFormat="1" ht="20.100000000000001" customHeight="1">
      <c r="B445" s="378"/>
      <c r="C445" s="378"/>
      <c r="D445" s="378"/>
      <c r="E445" s="378"/>
      <c r="F445" s="378"/>
      <c r="G445" s="378"/>
      <c r="H445" s="378"/>
      <c r="I445" s="378"/>
      <c r="J445" s="378"/>
      <c r="K445" s="378"/>
      <c r="L445" s="378"/>
      <c r="M445" s="378"/>
      <c r="N445" s="378"/>
      <c r="O445" s="378"/>
      <c r="P445" s="378"/>
      <c r="Q445" s="378"/>
      <c r="R445" s="378"/>
      <c r="S445" s="378"/>
      <c r="T445" s="378"/>
      <c r="U445" s="378"/>
      <c r="V445" s="378"/>
      <c r="W445" s="378"/>
      <c r="X445" s="378"/>
    </row>
    <row r="446" spans="2:24" s="359" customFormat="1" ht="20.100000000000001" customHeight="1">
      <c r="B446" s="378"/>
      <c r="C446" s="378"/>
      <c r="D446" s="378"/>
      <c r="E446" s="378"/>
      <c r="F446" s="378"/>
      <c r="G446" s="378"/>
      <c r="H446" s="378"/>
      <c r="I446" s="378"/>
      <c r="J446" s="378"/>
      <c r="K446" s="378"/>
      <c r="L446" s="378"/>
      <c r="M446" s="378"/>
      <c r="N446" s="378"/>
      <c r="O446" s="378"/>
      <c r="P446" s="378"/>
      <c r="Q446" s="378"/>
      <c r="R446" s="378"/>
      <c r="S446" s="378"/>
      <c r="T446" s="378"/>
      <c r="U446" s="378"/>
      <c r="V446" s="378"/>
      <c r="W446" s="378"/>
      <c r="X446" s="378"/>
    </row>
    <row r="447" spans="2:24" s="359" customFormat="1" ht="20.100000000000001" customHeight="1">
      <c r="B447" s="378"/>
      <c r="C447" s="378"/>
      <c r="D447" s="378"/>
      <c r="E447" s="378"/>
      <c r="F447" s="378"/>
      <c r="G447" s="378"/>
      <c r="H447" s="378"/>
      <c r="I447" s="378"/>
      <c r="J447" s="378"/>
      <c r="K447" s="378"/>
      <c r="L447" s="378"/>
      <c r="M447" s="378"/>
      <c r="N447" s="378"/>
      <c r="O447" s="378"/>
      <c r="P447" s="378"/>
      <c r="Q447" s="378"/>
      <c r="R447" s="378"/>
      <c r="S447" s="378"/>
      <c r="T447" s="378"/>
      <c r="U447" s="378"/>
      <c r="V447" s="378"/>
      <c r="W447" s="378"/>
      <c r="X447" s="378"/>
    </row>
    <row r="448" spans="2:24" s="359" customFormat="1" ht="20.100000000000001" customHeight="1">
      <c r="B448" s="378"/>
      <c r="C448" s="378"/>
      <c r="D448" s="378"/>
      <c r="E448" s="378"/>
      <c r="F448" s="378"/>
      <c r="G448" s="378"/>
      <c r="H448" s="378"/>
      <c r="I448" s="378"/>
      <c r="J448" s="378"/>
      <c r="K448" s="378"/>
      <c r="L448" s="378"/>
      <c r="M448" s="378"/>
      <c r="N448" s="378"/>
      <c r="O448" s="378"/>
      <c r="P448" s="378"/>
      <c r="Q448" s="378"/>
      <c r="R448" s="378"/>
      <c r="S448" s="378"/>
      <c r="T448" s="378"/>
      <c r="U448" s="378"/>
      <c r="V448" s="378"/>
      <c r="W448" s="378"/>
      <c r="X448" s="378"/>
    </row>
    <row r="449" spans="2:24" s="359" customFormat="1" ht="20.100000000000001" customHeight="1">
      <c r="B449" s="378"/>
      <c r="C449" s="378"/>
      <c r="D449" s="378"/>
      <c r="E449" s="378"/>
      <c r="F449" s="378"/>
      <c r="G449" s="378"/>
      <c r="H449" s="378"/>
      <c r="I449" s="378"/>
      <c r="J449" s="378"/>
      <c r="K449" s="378"/>
      <c r="L449" s="378"/>
      <c r="M449" s="378"/>
      <c r="N449" s="378"/>
      <c r="O449" s="378"/>
      <c r="P449" s="378"/>
      <c r="Q449" s="378"/>
      <c r="R449" s="378"/>
      <c r="S449" s="378"/>
      <c r="T449" s="378"/>
      <c r="U449" s="378"/>
      <c r="V449" s="378"/>
      <c r="W449" s="378"/>
      <c r="X449" s="378"/>
    </row>
    <row r="450" spans="2:24" s="359" customFormat="1" ht="20.100000000000001" customHeight="1">
      <c r="B450" s="378"/>
      <c r="C450" s="378"/>
      <c r="D450" s="378"/>
      <c r="E450" s="378"/>
      <c r="F450" s="378"/>
      <c r="G450" s="378"/>
      <c r="H450" s="378"/>
      <c r="I450" s="378"/>
      <c r="J450" s="378"/>
      <c r="K450" s="378"/>
      <c r="L450" s="378"/>
      <c r="M450" s="378"/>
      <c r="N450" s="378"/>
      <c r="O450" s="378"/>
      <c r="P450" s="378"/>
      <c r="Q450" s="378"/>
      <c r="R450" s="378"/>
      <c r="S450" s="378"/>
      <c r="T450" s="378"/>
      <c r="U450" s="378"/>
      <c r="V450" s="378"/>
      <c r="W450" s="378"/>
      <c r="X450" s="378"/>
    </row>
    <row r="451" spans="2:24" s="359" customFormat="1" ht="20.100000000000001" customHeight="1">
      <c r="B451" s="378"/>
      <c r="C451" s="378"/>
      <c r="D451" s="378"/>
      <c r="E451" s="378"/>
      <c r="F451" s="378"/>
      <c r="G451" s="378"/>
      <c r="H451" s="378"/>
      <c r="I451" s="378"/>
      <c r="J451" s="378"/>
      <c r="K451" s="378"/>
      <c r="L451" s="378"/>
      <c r="M451" s="378"/>
      <c r="N451" s="378"/>
      <c r="O451" s="378"/>
      <c r="P451" s="378"/>
      <c r="Q451" s="378"/>
      <c r="R451" s="378"/>
      <c r="S451" s="378"/>
      <c r="T451" s="378"/>
      <c r="U451" s="378"/>
      <c r="V451" s="378"/>
      <c r="W451" s="378"/>
      <c r="X451" s="378"/>
    </row>
    <row r="452" spans="2:24" s="359" customFormat="1" ht="20.100000000000001" customHeight="1">
      <c r="B452" s="378"/>
      <c r="C452" s="378"/>
      <c r="D452" s="378"/>
      <c r="E452" s="378"/>
      <c r="F452" s="378"/>
      <c r="G452" s="378"/>
      <c r="H452" s="378"/>
      <c r="I452" s="378"/>
      <c r="J452" s="378"/>
      <c r="K452" s="378"/>
      <c r="L452" s="378"/>
      <c r="M452" s="378"/>
      <c r="N452" s="378"/>
      <c r="O452" s="378"/>
      <c r="P452" s="378"/>
      <c r="Q452" s="378"/>
      <c r="R452" s="378"/>
      <c r="S452" s="378"/>
      <c r="T452" s="378"/>
      <c r="U452" s="378"/>
      <c r="V452" s="378"/>
      <c r="W452" s="378"/>
      <c r="X452" s="378"/>
    </row>
    <row r="453" spans="2:24" s="359" customFormat="1" ht="20.100000000000001" customHeight="1">
      <c r="B453" s="378"/>
      <c r="C453" s="378"/>
      <c r="D453" s="378"/>
      <c r="E453" s="378"/>
      <c r="F453" s="378"/>
      <c r="G453" s="378"/>
      <c r="H453" s="378"/>
      <c r="I453" s="378"/>
      <c r="J453" s="378"/>
      <c r="K453" s="378"/>
      <c r="L453" s="378"/>
      <c r="M453" s="378"/>
      <c r="N453" s="378"/>
      <c r="O453" s="378"/>
      <c r="P453" s="378"/>
      <c r="Q453" s="378"/>
      <c r="R453" s="378"/>
      <c r="S453" s="378"/>
      <c r="T453" s="378"/>
      <c r="U453" s="378"/>
      <c r="V453" s="378"/>
      <c r="W453" s="378"/>
      <c r="X453" s="378"/>
    </row>
    <row r="454" spans="2:24" s="359" customFormat="1" ht="20.100000000000001" customHeight="1">
      <c r="B454" s="378"/>
      <c r="C454" s="378"/>
      <c r="D454" s="378"/>
      <c r="E454" s="378"/>
      <c r="F454" s="378"/>
      <c r="G454" s="378"/>
      <c r="H454" s="378"/>
      <c r="I454" s="378"/>
      <c r="J454" s="378"/>
      <c r="K454" s="378"/>
      <c r="L454" s="378"/>
      <c r="M454" s="378"/>
      <c r="N454" s="378"/>
      <c r="O454" s="378"/>
      <c r="P454" s="378"/>
      <c r="Q454" s="378"/>
      <c r="R454" s="378"/>
      <c r="S454" s="378"/>
      <c r="T454" s="378"/>
      <c r="U454" s="378"/>
      <c r="V454" s="378"/>
      <c r="W454" s="378"/>
      <c r="X454" s="378"/>
    </row>
    <row r="455" spans="2:24" s="359" customFormat="1" ht="20.100000000000001" customHeight="1">
      <c r="B455" s="378"/>
      <c r="C455" s="378"/>
      <c r="D455" s="378"/>
      <c r="E455" s="378"/>
      <c r="F455" s="378"/>
      <c r="G455" s="378"/>
      <c r="H455" s="378"/>
      <c r="I455" s="378"/>
      <c r="J455" s="378"/>
      <c r="K455" s="378"/>
      <c r="L455" s="378"/>
      <c r="M455" s="378"/>
      <c r="N455" s="378"/>
      <c r="O455" s="378"/>
      <c r="P455" s="378"/>
      <c r="Q455" s="378"/>
      <c r="R455" s="378"/>
      <c r="S455" s="378"/>
      <c r="T455" s="378"/>
      <c r="U455" s="378"/>
      <c r="V455" s="378"/>
      <c r="W455" s="378"/>
      <c r="X455" s="378"/>
    </row>
    <row r="456" spans="2:24" s="359" customFormat="1" ht="20.100000000000001" customHeight="1">
      <c r="B456" s="378"/>
      <c r="C456" s="378"/>
      <c r="D456" s="378"/>
      <c r="E456" s="378"/>
      <c r="F456" s="378"/>
      <c r="G456" s="378"/>
      <c r="H456" s="378"/>
      <c r="I456" s="378"/>
      <c r="J456" s="378"/>
      <c r="K456" s="378"/>
      <c r="L456" s="378"/>
      <c r="M456" s="378"/>
      <c r="N456" s="378"/>
      <c r="O456" s="378"/>
      <c r="P456" s="378"/>
      <c r="Q456" s="378"/>
      <c r="R456" s="378"/>
      <c r="S456" s="378"/>
      <c r="T456" s="378"/>
      <c r="U456" s="378"/>
      <c r="V456" s="378"/>
      <c r="W456" s="378"/>
      <c r="X456" s="378"/>
    </row>
    <row r="457" spans="2:24" s="359" customFormat="1" ht="20.100000000000001" customHeight="1">
      <c r="B457" s="378"/>
      <c r="C457" s="378"/>
      <c r="D457" s="378"/>
      <c r="E457" s="378"/>
      <c r="F457" s="378"/>
      <c r="G457" s="378"/>
      <c r="H457" s="378"/>
      <c r="I457" s="378"/>
      <c r="J457" s="378"/>
      <c r="K457" s="378"/>
      <c r="L457" s="378"/>
      <c r="M457" s="378"/>
      <c r="N457" s="378"/>
      <c r="O457" s="378"/>
      <c r="P457" s="378"/>
      <c r="Q457" s="378"/>
      <c r="R457" s="378"/>
      <c r="S457" s="378"/>
      <c r="T457" s="378"/>
      <c r="U457" s="378"/>
      <c r="V457" s="378"/>
      <c r="W457" s="378"/>
      <c r="X457" s="378"/>
    </row>
    <row r="458" spans="2:24" s="359" customFormat="1" ht="20.100000000000001" customHeight="1">
      <c r="B458" s="378"/>
      <c r="C458" s="378"/>
      <c r="D458" s="378"/>
      <c r="E458" s="378"/>
      <c r="F458" s="378"/>
      <c r="G458" s="378"/>
      <c r="H458" s="378"/>
      <c r="I458" s="378"/>
      <c r="J458" s="378"/>
      <c r="K458" s="378"/>
      <c r="L458" s="378"/>
      <c r="M458" s="378"/>
      <c r="N458" s="378"/>
      <c r="O458" s="378"/>
      <c r="P458" s="378"/>
      <c r="Q458" s="378"/>
      <c r="R458" s="378"/>
      <c r="S458" s="378"/>
      <c r="T458" s="378"/>
      <c r="U458" s="378"/>
      <c r="V458" s="378"/>
      <c r="W458" s="378"/>
      <c r="X458" s="378"/>
    </row>
    <row r="459" spans="2:24" s="359" customFormat="1" ht="20.100000000000001" customHeight="1">
      <c r="B459" s="378"/>
      <c r="C459" s="378"/>
      <c r="D459" s="378"/>
      <c r="E459" s="378"/>
      <c r="F459" s="378"/>
      <c r="G459" s="378"/>
      <c r="H459" s="378"/>
      <c r="I459" s="378"/>
      <c r="J459" s="378"/>
      <c r="K459" s="378"/>
      <c r="L459" s="378"/>
      <c r="M459" s="378"/>
      <c r="N459" s="378"/>
      <c r="O459" s="378"/>
      <c r="P459" s="378"/>
      <c r="Q459" s="378"/>
      <c r="R459" s="378"/>
      <c r="S459" s="378"/>
      <c r="T459" s="378"/>
      <c r="U459" s="378"/>
      <c r="V459" s="378"/>
      <c r="W459" s="378"/>
      <c r="X459" s="378"/>
    </row>
    <row r="460" spans="2:24" s="359" customFormat="1" ht="20.100000000000001" customHeight="1">
      <c r="B460" s="378"/>
      <c r="C460" s="378"/>
      <c r="D460" s="378"/>
      <c r="E460" s="378"/>
      <c r="F460" s="378"/>
      <c r="G460" s="378"/>
      <c r="H460" s="378"/>
      <c r="I460" s="378"/>
      <c r="J460" s="378"/>
      <c r="K460" s="378"/>
      <c r="L460" s="378"/>
      <c r="M460" s="378"/>
      <c r="N460" s="378"/>
      <c r="O460" s="378"/>
      <c r="P460" s="378"/>
      <c r="Q460" s="378"/>
      <c r="R460" s="378"/>
      <c r="S460" s="378"/>
      <c r="T460" s="378"/>
      <c r="U460" s="378"/>
      <c r="V460" s="378"/>
      <c r="W460" s="378"/>
      <c r="X460" s="378"/>
    </row>
    <row r="461" spans="2:24" s="359" customFormat="1" ht="20.100000000000001" customHeight="1">
      <c r="B461" s="378"/>
      <c r="C461" s="378"/>
      <c r="D461" s="378"/>
      <c r="E461" s="378"/>
      <c r="F461" s="378"/>
      <c r="G461" s="378"/>
      <c r="H461" s="378"/>
      <c r="I461" s="378"/>
      <c r="J461" s="378"/>
      <c r="K461" s="378"/>
      <c r="L461" s="378"/>
      <c r="M461" s="378"/>
      <c r="N461" s="378"/>
      <c r="O461" s="378"/>
      <c r="P461" s="378"/>
      <c r="Q461" s="378"/>
      <c r="R461" s="378"/>
      <c r="S461" s="378"/>
      <c r="T461" s="378"/>
      <c r="U461" s="378"/>
      <c r="V461" s="378"/>
      <c r="W461" s="378"/>
      <c r="X461" s="378"/>
    </row>
    <row r="462" spans="2:24" s="359" customFormat="1" ht="20.100000000000001" customHeight="1">
      <c r="B462" s="378"/>
      <c r="C462" s="378"/>
      <c r="D462" s="378"/>
      <c r="E462" s="378"/>
      <c r="F462" s="378"/>
      <c r="G462" s="378"/>
      <c r="H462" s="378"/>
      <c r="I462" s="378"/>
      <c r="J462" s="378"/>
      <c r="K462" s="378"/>
      <c r="L462" s="378"/>
      <c r="M462" s="378"/>
      <c r="N462" s="378"/>
      <c r="O462" s="378"/>
      <c r="P462" s="378"/>
      <c r="Q462" s="378"/>
      <c r="R462" s="378"/>
      <c r="S462" s="378"/>
      <c r="T462" s="378"/>
      <c r="U462" s="378"/>
      <c r="V462" s="378"/>
      <c r="W462" s="378"/>
      <c r="X462" s="378"/>
    </row>
    <row r="463" spans="2:24" s="359" customFormat="1" ht="20.100000000000001" customHeight="1">
      <c r="B463" s="378"/>
      <c r="C463" s="378"/>
      <c r="D463" s="378"/>
      <c r="E463" s="378"/>
      <c r="F463" s="378"/>
      <c r="G463" s="378"/>
      <c r="H463" s="378"/>
      <c r="I463" s="378"/>
      <c r="J463" s="378"/>
      <c r="K463" s="378"/>
      <c r="L463" s="378"/>
      <c r="M463" s="378"/>
      <c r="N463" s="378"/>
      <c r="O463" s="378"/>
      <c r="P463" s="378"/>
      <c r="Q463" s="378"/>
      <c r="R463" s="378"/>
      <c r="S463" s="378"/>
      <c r="T463" s="378"/>
      <c r="U463" s="378"/>
      <c r="V463" s="378"/>
      <c r="W463" s="378"/>
      <c r="X463" s="378"/>
    </row>
    <row r="464" spans="2:24" s="359" customFormat="1" ht="20.100000000000001" customHeight="1">
      <c r="B464" s="378"/>
      <c r="C464" s="378"/>
      <c r="D464" s="378"/>
      <c r="E464" s="378"/>
      <c r="F464" s="378"/>
      <c r="G464" s="378"/>
      <c r="H464" s="378"/>
      <c r="I464" s="378"/>
      <c r="J464" s="378"/>
      <c r="K464" s="378"/>
      <c r="L464" s="378"/>
      <c r="M464" s="378"/>
      <c r="N464" s="378"/>
      <c r="O464" s="378"/>
      <c r="P464" s="378"/>
      <c r="Q464" s="378"/>
      <c r="R464" s="378"/>
      <c r="S464" s="378"/>
      <c r="T464" s="378"/>
      <c r="U464" s="378"/>
      <c r="V464" s="378"/>
      <c r="W464" s="378"/>
      <c r="X464" s="378"/>
    </row>
    <row r="465" spans="2:24" s="359" customFormat="1" ht="20.100000000000001" customHeight="1">
      <c r="B465" s="378"/>
      <c r="C465" s="378"/>
      <c r="D465" s="378"/>
      <c r="E465" s="378"/>
      <c r="F465" s="378"/>
      <c r="G465" s="378"/>
      <c r="H465" s="378"/>
      <c r="I465" s="378"/>
      <c r="J465" s="378"/>
      <c r="K465" s="378"/>
      <c r="L465" s="378"/>
      <c r="M465" s="378"/>
      <c r="N465" s="378"/>
      <c r="O465" s="378"/>
      <c r="P465" s="378"/>
      <c r="Q465" s="378"/>
      <c r="R465" s="378"/>
      <c r="S465" s="378"/>
      <c r="T465" s="378"/>
      <c r="U465" s="378"/>
      <c r="V465" s="378"/>
      <c r="W465" s="378"/>
      <c r="X465" s="378"/>
    </row>
    <row r="466" spans="2:24" s="359" customFormat="1" ht="20.100000000000001" customHeight="1">
      <c r="B466" s="378"/>
      <c r="C466" s="378"/>
      <c r="D466" s="378"/>
      <c r="E466" s="378"/>
      <c r="F466" s="378"/>
      <c r="G466" s="378"/>
      <c r="H466" s="378"/>
      <c r="I466" s="378"/>
      <c r="J466" s="378"/>
      <c r="K466" s="378"/>
      <c r="L466" s="378"/>
      <c r="M466" s="378"/>
      <c r="N466" s="378"/>
      <c r="O466" s="378"/>
      <c r="P466" s="378"/>
      <c r="Q466" s="378"/>
      <c r="R466" s="378"/>
      <c r="S466" s="378"/>
      <c r="T466" s="378"/>
      <c r="U466" s="378"/>
      <c r="V466" s="378"/>
      <c r="W466" s="378"/>
      <c r="X466" s="378"/>
    </row>
    <row r="467" spans="2:24" s="359" customFormat="1" ht="20.100000000000001" customHeight="1">
      <c r="B467" s="378"/>
      <c r="C467" s="378"/>
      <c r="D467" s="378"/>
      <c r="E467" s="378"/>
      <c r="F467" s="378"/>
      <c r="G467" s="378"/>
      <c r="H467" s="378"/>
      <c r="I467" s="378"/>
      <c r="J467" s="378"/>
      <c r="K467" s="378"/>
      <c r="L467" s="378"/>
      <c r="M467" s="378"/>
      <c r="N467" s="378"/>
      <c r="O467" s="378"/>
      <c r="P467" s="378"/>
      <c r="Q467" s="378"/>
      <c r="R467" s="378"/>
      <c r="S467" s="378"/>
      <c r="T467" s="378"/>
      <c r="U467" s="378"/>
      <c r="V467" s="378"/>
      <c r="W467" s="378"/>
      <c r="X467" s="378"/>
    </row>
    <row r="468" spans="2:24" s="359" customFormat="1" ht="20.100000000000001" customHeight="1">
      <c r="B468" s="378"/>
      <c r="C468" s="378"/>
      <c r="D468" s="378"/>
      <c r="E468" s="378"/>
      <c r="F468" s="378"/>
      <c r="G468" s="378"/>
      <c r="H468" s="378"/>
      <c r="I468" s="378"/>
      <c r="J468" s="378"/>
      <c r="K468" s="378"/>
      <c r="L468" s="378"/>
      <c r="M468" s="378"/>
      <c r="N468" s="378"/>
      <c r="O468" s="378"/>
      <c r="P468" s="378"/>
      <c r="Q468" s="378"/>
      <c r="R468" s="378"/>
      <c r="S468" s="378"/>
      <c r="T468" s="378"/>
      <c r="U468" s="378"/>
      <c r="V468" s="378"/>
      <c r="W468" s="378"/>
      <c r="X468" s="378"/>
    </row>
    <row r="469" spans="2:24" s="359" customFormat="1" ht="20.100000000000001" customHeight="1">
      <c r="B469" s="378"/>
      <c r="C469" s="378"/>
      <c r="D469" s="378"/>
      <c r="E469" s="378"/>
      <c r="F469" s="378"/>
      <c r="G469" s="378"/>
      <c r="H469" s="378"/>
      <c r="I469" s="378"/>
      <c r="J469" s="378"/>
      <c r="K469" s="378"/>
      <c r="L469" s="378"/>
      <c r="M469" s="378"/>
      <c r="N469" s="378"/>
      <c r="O469" s="378"/>
      <c r="P469" s="378"/>
      <c r="Q469" s="378"/>
      <c r="R469" s="378"/>
      <c r="S469" s="378"/>
      <c r="T469" s="378"/>
      <c r="U469" s="378"/>
      <c r="V469" s="378"/>
      <c r="W469" s="378"/>
      <c r="X469" s="378"/>
    </row>
    <row r="470" spans="2:24" s="359" customFormat="1" ht="20.100000000000001" customHeight="1">
      <c r="B470" s="378"/>
      <c r="C470" s="378"/>
      <c r="D470" s="378"/>
      <c r="E470" s="378"/>
      <c r="F470" s="378"/>
      <c r="G470" s="378"/>
      <c r="H470" s="378"/>
      <c r="I470" s="378"/>
      <c r="J470" s="378"/>
      <c r="K470" s="378"/>
      <c r="L470" s="378"/>
      <c r="M470" s="378"/>
      <c r="N470" s="378"/>
      <c r="O470" s="378"/>
      <c r="P470" s="378"/>
      <c r="Q470" s="378"/>
      <c r="R470" s="378"/>
      <c r="S470" s="378"/>
      <c r="T470" s="378"/>
      <c r="U470" s="378"/>
      <c r="V470" s="378"/>
      <c r="W470" s="378"/>
      <c r="X470" s="378"/>
    </row>
    <row r="471" spans="2:24" ht="20.100000000000001" customHeight="1"/>
    <row r="472" spans="2:24" ht="10.15" customHeight="1"/>
  </sheetData>
  <sheetProtection formatCells="0" formatColumns="0" formatRows="0" insertColumns="0" insertRows="0" insertHyperlinks="0" deleteColumns="0" deleteRows="0" sort="0" autoFilter="0" pivotTables="0"/>
  <mergeCells count="25">
    <mergeCell ref="A2:X2"/>
    <mergeCell ref="A3:X3"/>
    <mergeCell ref="A4:X4"/>
    <mergeCell ref="C9:X9"/>
    <mergeCell ref="A11:X11"/>
    <mergeCell ref="A12:X12"/>
    <mergeCell ref="A5:X5"/>
    <mergeCell ref="I13:K13"/>
    <mergeCell ref="A6:X6"/>
    <mergeCell ref="A7:X7"/>
    <mergeCell ref="R13:T13"/>
    <mergeCell ref="W13:W14"/>
    <mergeCell ref="V13:V15"/>
    <mergeCell ref="X13:X15"/>
    <mergeCell ref="U13:U14"/>
    <mergeCell ref="AA16:AE16"/>
    <mergeCell ref="AG16:AK16"/>
    <mergeCell ref="A56:B56"/>
    <mergeCell ref="E13:H13"/>
    <mergeCell ref="C13:C15"/>
    <mergeCell ref="D13:D15"/>
    <mergeCell ref="A15:A16"/>
    <mergeCell ref="B15:B16"/>
    <mergeCell ref="A13:B14"/>
    <mergeCell ref="M13:Q13"/>
  </mergeCells>
  <conditionalFormatting sqref="A15:B15">
    <cfRule type="cellIs" dxfId="7" priority="104" operator="equal">
      <formula>0</formula>
    </cfRule>
  </conditionalFormatting>
  <conditionalFormatting sqref="B18:X55">
    <cfRule type="cellIs" dxfId="6" priority="1" operator="equal">
      <formula>0</formula>
    </cfRule>
  </conditionalFormatting>
  <conditionalFormatting sqref="C16:D16">
    <cfRule type="cellIs" dxfId="5" priority="38" operator="equal">
      <formula>0</formula>
    </cfRule>
  </conditionalFormatting>
  <conditionalFormatting sqref="E15:H16">
    <cfRule type="cellIs" dxfId="4" priority="29" operator="equal">
      <formula>0</formula>
    </cfRule>
  </conditionalFormatting>
  <conditionalFormatting sqref="I15:T15">
    <cfRule type="cellIs" dxfId="3" priority="25" operator="equal">
      <formula>0</formula>
    </cfRule>
  </conditionalFormatting>
  <conditionalFormatting sqref="I16:V16">
    <cfRule type="cellIs" dxfId="2" priority="18" operator="equal">
      <formula>0</formula>
    </cfRule>
  </conditionalFormatting>
  <conditionalFormatting sqref="W15:W16">
    <cfRule type="cellIs" dxfId="1" priority="20" operator="equal">
      <formula>0</formula>
    </cfRule>
  </conditionalFormatting>
  <conditionalFormatting sqref="X16">
    <cfRule type="cellIs" dxfId="0" priority="40" operator="equal">
      <formula>0</formula>
    </cfRule>
  </conditionalFormatting>
  <printOptions horizontalCentered="1"/>
  <pageMargins left="0.51181102362204722" right="0.51181102362204722" top="0.78740157480314965" bottom="0.78740157480314965" header="0.31496062992125984" footer="0.31496062992125984"/>
  <pageSetup paperSize="9" scale="13"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O52"/>
  <sheetViews>
    <sheetView showGridLines="0" view="pageBreakPreview" topLeftCell="A37" zoomScaleNormal="90" zoomScaleSheetLayoutView="100" workbookViewId="0">
      <selection activeCell="I1" sqref="B1:I47"/>
    </sheetView>
  </sheetViews>
  <sheetFormatPr defaultColWidth="9" defaultRowHeight="15"/>
  <cols>
    <col min="1" max="1" width="0.42578125" style="687" customWidth="1"/>
    <col min="2" max="2" width="12.85546875" style="710" customWidth="1"/>
    <col min="3" max="3" width="82.140625" style="710" customWidth="1"/>
    <col min="4" max="5" width="10.7109375" style="710" customWidth="1"/>
    <col min="6" max="9" width="12.5703125" style="710" customWidth="1"/>
    <col min="10" max="12" width="0" style="687" hidden="1" customWidth="1"/>
    <col min="13" max="13" width="13.7109375" style="687" hidden="1" customWidth="1"/>
    <col min="14" max="14" width="0.42578125" style="687" customWidth="1"/>
    <col min="15" max="15" width="16.140625" style="687" customWidth="1"/>
    <col min="16" max="16384" width="9" style="687"/>
  </cols>
  <sheetData>
    <row r="1" spans="1:15" ht="15.75" thickBot="1">
      <c r="B1" s="1480"/>
      <c r="C1" s="1481"/>
      <c r="D1" s="1481"/>
      <c r="E1" s="1481"/>
      <c r="F1" s="1481"/>
      <c r="G1" s="1481"/>
      <c r="H1" s="1481"/>
      <c r="I1" s="1482"/>
    </row>
    <row r="2" spans="1:15" ht="30.2" customHeight="1">
      <c r="A2" s="686"/>
      <c r="B2" s="1749" t="s">
        <v>934</v>
      </c>
      <c r="C2" s="1750"/>
      <c r="D2" s="1750"/>
      <c r="E2" s="1750"/>
      <c r="F2" s="1750"/>
      <c r="G2" s="1750"/>
      <c r="H2" s="1750"/>
      <c r="I2" s="1751"/>
      <c r="M2" s="1752">
        <v>2020</v>
      </c>
    </row>
    <row r="3" spans="1:15" ht="30.2" customHeight="1">
      <c r="A3" s="688"/>
      <c r="B3" s="1483"/>
      <c r="C3" s="1475"/>
      <c r="D3" s="1475"/>
      <c r="E3" s="1475"/>
      <c r="F3" s="1475"/>
      <c r="G3" s="1475"/>
      <c r="H3" s="1475"/>
      <c r="I3" s="1484"/>
      <c r="M3" s="1752"/>
    </row>
    <row r="4" spans="1:15" ht="29.25" thickBot="1">
      <c r="A4" s="688"/>
      <c r="B4" s="1485" t="s">
        <v>1550</v>
      </c>
      <c r="C4" s="1486"/>
      <c r="D4" s="1486"/>
      <c r="E4" s="1486"/>
      <c r="F4" s="1486"/>
      <c r="G4" s="1486"/>
      <c r="H4" s="1486"/>
      <c r="I4" s="1487"/>
      <c r="M4" s="1752"/>
    </row>
    <row r="5" spans="1:15" ht="57.75" customHeight="1">
      <c r="A5" s="689"/>
      <c r="B5" s="1492" t="s">
        <v>1653</v>
      </c>
      <c r="C5" s="1477" t="s">
        <v>5</v>
      </c>
      <c r="D5" s="1478" t="s">
        <v>784</v>
      </c>
      <c r="E5" s="1478" t="s">
        <v>771</v>
      </c>
      <c r="F5" s="1476" t="s">
        <v>785</v>
      </c>
      <c r="G5" s="1476" t="s">
        <v>786</v>
      </c>
      <c r="H5" s="1479" t="s">
        <v>1548</v>
      </c>
      <c r="I5" s="1493" t="s">
        <v>1549</v>
      </c>
      <c r="J5" s="687">
        <v>325</v>
      </c>
      <c r="O5" s="690"/>
    </row>
    <row r="6" spans="1:15">
      <c r="A6" s="689"/>
      <c r="B6" s="1494"/>
      <c r="C6" s="692" t="s">
        <v>764</v>
      </c>
      <c r="D6" s="691"/>
      <c r="E6" s="691"/>
      <c r="F6" s="691"/>
      <c r="G6" s="691"/>
      <c r="H6" s="691">
        <f>SUBTOTAL(9,H7:H9)</f>
        <v>49039.93</v>
      </c>
      <c r="I6" s="1495">
        <f>SUBTOTAL(9,I7:I9)</f>
        <v>62505.33</v>
      </c>
      <c r="M6" s="693"/>
    </row>
    <row r="7" spans="1:15" ht="28.5">
      <c r="A7" s="694"/>
      <c r="B7" s="1496">
        <v>99059</v>
      </c>
      <c r="C7" s="695" t="s">
        <v>788</v>
      </c>
      <c r="D7" s="696" t="s">
        <v>3</v>
      </c>
      <c r="E7" s="698">
        <f>'MC-PONTE'!L9</f>
        <v>265</v>
      </c>
      <c r="F7" s="697">
        <v>59.3</v>
      </c>
      <c r="G7" s="698">
        <f>F7*(1+'PLANILHA GERAL'!$J$16)</f>
        <v>75.58</v>
      </c>
      <c r="H7" s="698">
        <f>ROUND(F7*E7,2)</f>
        <v>15714.5</v>
      </c>
      <c r="I7" s="1497">
        <f>ROUND(G7*E7,2)</f>
        <v>20028.7</v>
      </c>
      <c r="K7" s="687">
        <v>24.276479999999999</v>
      </c>
      <c r="L7" s="687">
        <f>K7/1.2644</f>
        <v>19.2</v>
      </c>
      <c r="M7" s="699">
        <v>37.79</v>
      </c>
    </row>
    <row r="8" spans="1:15" ht="18">
      <c r="A8" s="694"/>
      <c r="B8" s="1496" t="s">
        <v>1604</v>
      </c>
      <c r="C8" s="695" t="s">
        <v>1603</v>
      </c>
      <c r="D8" s="696" t="s">
        <v>766</v>
      </c>
      <c r="E8" s="698">
        <f>'MC-PONTE'!L9</f>
        <v>265</v>
      </c>
      <c r="F8" s="697">
        <v>56.37</v>
      </c>
      <c r="G8" s="698">
        <f>F8*(1+'PLANILHA GERAL'!$J$16)</f>
        <v>71.849999999999994</v>
      </c>
      <c r="H8" s="698">
        <f>ROUND(F8*E8,2)</f>
        <v>14938.05</v>
      </c>
      <c r="I8" s="1497">
        <f>ROUND(G8*E8,2)</f>
        <v>19040.25</v>
      </c>
      <c r="M8" s="1403"/>
    </row>
    <row r="9" spans="1:15" ht="18">
      <c r="A9" s="694"/>
      <c r="B9" s="1498" t="s">
        <v>1660</v>
      </c>
      <c r="C9" s="695" t="s">
        <v>1652</v>
      </c>
      <c r="D9" s="696" t="s">
        <v>766</v>
      </c>
      <c r="E9" s="698">
        <f>25*1.5</f>
        <v>37.5</v>
      </c>
      <c r="F9" s="697">
        <f>'Composição-'!F38</f>
        <v>490.33</v>
      </c>
      <c r="G9" s="698">
        <f>F9*(1+'PLANILHA GERAL'!$J$16)</f>
        <v>624.97</v>
      </c>
      <c r="H9" s="698">
        <f>ROUND(F9*E9,2)</f>
        <v>18387.38</v>
      </c>
      <c r="I9" s="1497">
        <f>ROUND(G9*E9,2)</f>
        <v>23436.38</v>
      </c>
      <c r="M9" s="1403"/>
    </row>
    <row r="10" spans="1:15">
      <c r="A10" s="689"/>
      <c r="B10" s="1499"/>
      <c r="C10" s="701" t="s">
        <v>773</v>
      </c>
      <c r="D10" s="700"/>
      <c r="E10" s="700"/>
      <c r="F10" s="700"/>
      <c r="G10" s="700"/>
      <c r="H10" s="700">
        <f>SUBTOTAL(9,H11:H13)</f>
        <v>89536.87</v>
      </c>
      <c r="I10" s="1500">
        <f>SUBTOTAL(9,I11:I13)</f>
        <v>114120.05</v>
      </c>
      <c r="L10" s="687">
        <f t="shared" ref="L10:L46" si="0">K10/1.2644</f>
        <v>0</v>
      </c>
      <c r="M10" s="702"/>
    </row>
    <row r="11" spans="1:15" ht="42.75">
      <c r="A11" s="694"/>
      <c r="B11" s="1496">
        <v>96537</v>
      </c>
      <c r="C11" s="695" t="s">
        <v>789</v>
      </c>
      <c r="D11" s="696" t="s">
        <v>766</v>
      </c>
      <c r="E11" s="698">
        <f>'MC-PONTE'!L68</f>
        <v>144.56</v>
      </c>
      <c r="F11" s="697">
        <v>184.88</v>
      </c>
      <c r="G11" s="698">
        <f>F11*(1+'PLANILHA GERAL'!$J$16)</f>
        <v>235.65</v>
      </c>
      <c r="H11" s="698">
        <f t="shared" ref="H11:H13" si="1">ROUND(F11*E11,2)</f>
        <v>26726.25</v>
      </c>
      <c r="I11" s="1497">
        <f>ROUND(G11*E11,2)</f>
        <v>34065.56</v>
      </c>
      <c r="K11" s="687">
        <v>28.752455999999999</v>
      </c>
      <c r="L11" s="687">
        <f t="shared" si="0"/>
        <v>22.74</v>
      </c>
      <c r="M11" s="699">
        <v>129.5</v>
      </c>
    </row>
    <row r="12" spans="1:15" ht="28.5">
      <c r="A12" s="694"/>
      <c r="B12" s="1496">
        <v>96543</v>
      </c>
      <c r="C12" s="695" t="s">
        <v>790</v>
      </c>
      <c r="D12" s="696" t="s">
        <v>791</v>
      </c>
      <c r="E12" s="698">
        <f>'MC-PONTE'!L106</f>
        <v>1800.9</v>
      </c>
      <c r="F12" s="697">
        <v>19.09</v>
      </c>
      <c r="G12" s="698">
        <f>F12*(1+'PLANILHA GERAL'!$J$16)</f>
        <v>24.33</v>
      </c>
      <c r="H12" s="698">
        <f t="shared" si="1"/>
        <v>34379.18</v>
      </c>
      <c r="I12" s="1497">
        <f>ROUND(G12*E12,2)</f>
        <v>43815.9</v>
      </c>
      <c r="K12" s="687">
        <v>7.91</v>
      </c>
      <c r="L12" s="687">
        <f t="shared" si="0"/>
        <v>6.2559316671939298</v>
      </c>
      <c r="M12" s="699">
        <v>12.73</v>
      </c>
    </row>
    <row r="13" spans="1:15" ht="42.75">
      <c r="A13" s="694"/>
      <c r="B13" s="1496">
        <v>96557</v>
      </c>
      <c r="C13" s="695" t="s">
        <v>792</v>
      </c>
      <c r="D13" s="696" t="s">
        <v>195</v>
      </c>
      <c r="E13" s="698">
        <f>'MC-PONTE'!L114</f>
        <v>30.48</v>
      </c>
      <c r="F13" s="697">
        <v>932.79</v>
      </c>
      <c r="G13" s="698">
        <f>F13*(1+'PLANILHA GERAL'!$J$16)</f>
        <v>1188.93</v>
      </c>
      <c r="H13" s="698">
        <f t="shared" si="1"/>
        <v>28431.439999999999</v>
      </c>
      <c r="I13" s="1497">
        <f>ROUND(G13*E13,2)</f>
        <v>36238.589999999997</v>
      </c>
      <c r="K13" s="687">
        <v>635.25984800000003</v>
      </c>
      <c r="L13" s="687">
        <f t="shared" si="0"/>
        <v>502.42</v>
      </c>
      <c r="M13" s="699">
        <v>528.88</v>
      </c>
    </row>
    <row r="14" spans="1:15" ht="24.75" hidden="1" customHeight="1">
      <c r="A14" s="689"/>
      <c r="B14" s="1499"/>
      <c r="C14" s="701" t="s">
        <v>793</v>
      </c>
      <c r="D14" s="700"/>
      <c r="E14" s="700"/>
      <c r="F14" s="700"/>
      <c r="G14" s="700"/>
      <c r="H14" s="700">
        <f>SUBTOTAL(9,H15)</f>
        <v>0</v>
      </c>
      <c r="I14" s="1500">
        <f>SUBTOTAL(9,I15)</f>
        <v>0</v>
      </c>
      <c r="L14" s="687">
        <f t="shared" si="0"/>
        <v>0</v>
      </c>
      <c r="M14" s="702"/>
    </row>
    <row r="15" spans="1:15" hidden="1">
      <c r="A15" s="694"/>
      <c r="B15" s="1498"/>
      <c r="C15" s="695" t="s">
        <v>794</v>
      </c>
      <c r="D15" s="696"/>
      <c r="E15" s="698"/>
      <c r="F15" s="697"/>
      <c r="G15" s="698"/>
      <c r="H15" s="698"/>
      <c r="I15" s="1497"/>
      <c r="K15" s="687">
        <v>6.6886760000000001</v>
      </c>
      <c r="L15" s="687">
        <f t="shared" si="0"/>
        <v>5.29</v>
      </c>
      <c r="M15" s="702"/>
    </row>
    <row r="16" spans="1:15">
      <c r="A16" s="689"/>
      <c r="B16" s="1499"/>
      <c r="C16" s="701" t="s">
        <v>795</v>
      </c>
      <c r="D16" s="700"/>
      <c r="E16" s="700"/>
      <c r="F16" s="700"/>
      <c r="G16" s="700"/>
      <c r="H16" s="700">
        <f>SUBTOTAL(9,H17:H19)</f>
        <v>229827.34</v>
      </c>
      <c r="I16" s="1500">
        <f>SUBTOTAL(9,I17:I19)</f>
        <v>292928.40000000002</v>
      </c>
      <c r="L16" s="687">
        <f t="shared" si="0"/>
        <v>0</v>
      </c>
      <c r="M16" s="702"/>
    </row>
    <row r="17" spans="1:13" ht="28.5">
      <c r="A17" s="694"/>
      <c r="B17" s="1496">
        <v>92266</v>
      </c>
      <c r="C17" s="695" t="s">
        <v>796</v>
      </c>
      <c r="D17" s="696" t="s">
        <v>2</v>
      </c>
      <c r="E17" s="698">
        <f>'MC-PONTE'!L156</f>
        <v>624.88</v>
      </c>
      <c r="F17" s="697">
        <v>168.34</v>
      </c>
      <c r="G17" s="698">
        <f>F17*(1+'PLANILHA GERAL'!$J$16)</f>
        <v>214.57</v>
      </c>
      <c r="H17" s="698">
        <f t="shared" ref="H17:H19" si="2">ROUND(F17*E17,2)</f>
        <v>105192.3</v>
      </c>
      <c r="I17" s="1497">
        <f>ROUND(G17*E17,2)</f>
        <v>134080.5</v>
      </c>
      <c r="K17" s="687">
        <v>56.09</v>
      </c>
      <c r="L17" s="687">
        <f t="shared" si="0"/>
        <v>44.360961720974402</v>
      </c>
      <c r="M17" s="699">
        <v>100.73</v>
      </c>
    </row>
    <row r="18" spans="1:13" ht="42.75">
      <c r="A18" s="694"/>
      <c r="B18" s="1496">
        <v>92759</v>
      </c>
      <c r="C18" s="695" t="s">
        <v>797</v>
      </c>
      <c r="D18" s="696" t="s">
        <v>791</v>
      </c>
      <c r="E18" s="698">
        <f>'MC-PONTE'!L175+'MC-PONTE'!L126</f>
        <v>4808.28</v>
      </c>
      <c r="F18" s="697">
        <v>13.92</v>
      </c>
      <c r="G18" s="698">
        <f>F18*(1+'PLANILHA GERAL'!$J$16)</f>
        <v>17.739999999999998</v>
      </c>
      <c r="H18" s="698">
        <f t="shared" si="2"/>
        <v>66931.259999999995</v>
      </c>
      <c r="I18" s="1497">
        <f>ROUND(G18*E18,2)</f>
        <v>85298.89</v>
      </c>
      <c r="K18" s="687">
        <v>6.6886760000000001</v>
      </c>
      <c r="L18" s="687">
        <f t="shared" si="0"/>
        <v>5.29</v>
      </c>
      <c r="M18" s="699">
        <v>10.52</v>
      </c>
    </row>
    <row r="19" spans="1:13" ht="42.75">
      <c r="A19" s="694"/>
      <c r="B19" s="1496">
        <v>96555</v>
      </c>
      <c r="C19" s="695" t="s">
        <v>798</v>
      </c>
      <c r="D19" s="696" t="s">
        <v>0</v>
      </c>
      <c r="E19" s="698">
        <f>'MC-PONTE'!L183</f>
        <v>62.4</v>
      </c>
      <c r="F19" s="697">
        <v>924.74</v>
      </c>
      <c r="G19" s="698">
        <f>F19*(1+'PLANILHA GERAL'!$J$16)</f>
        <v>1178.67</v>
      </c>
      <c r="H19" s="698">
        <f t="shared" si="2"/>
        <v>57703.78</v>
      </c>
      <c r="I19" s="1497">
        <f>ROUND(G19*E19,2)</f>
        <v>73549.009999999995</v>
      </c>
      <c r="K19" s="687">
        <v>635.25984800000003</v>
      </c>
      <c r="L19" s="687">
        <f t="shared" si="0"/>
        <v>502.42</v>
      </c>
      <c r="M19" s="699">
        <v>446.66</v>
      </c>
    </row>
    <row r="20" spans="1:13">
      <c r="A20" s="689"/>
      <c r="B20" s="1499"/>
      <c r="C20" s="701" t="s">
        <v>799</v>
      </c>
      <c r="D20" s="700"/>
      <c r="E20" s="700"/>
      <c r="F20" s="700"/>
      <c r="G20" s="700"/>
      <c r="H20" s="700">
        <f>SUBTOTAL(9,H21:H25)</f>
        <v>191403.73</v>
      </c>
      <c r="I20" s="1500">
        <f>SUBTOTAL(9,I21:I25)</f>
        <v>243952.97</v>
      </c>
      <c r="L20" s="687">
        <f t="shared" si="0"/>
        <v>0</v>
      </c>
      <c r="M20" s="702"/>
    </row>
    <row r="21" spans="1:13" ht="42.75">
      <c r="A21" s="694"/>
      <c r="B21" s="1496">
        <v>101593</v>
      </c>
      <c r="C21" s="695" t="s">
        <v>800</v>
      </c>
      <c r="D21" s="696" t="s">
        <v>766</v>
      </c>
      <c r="E21" s="698">
        <f>'MC-PONTE'!L204</f>
        <v>550</v>
      </c>
      <c r="F21" s="697">
        <v>87.96</v>
      </c>
      <c r="G21" s="698">
        <f>F21*(1+'PLANILHA GERAL'!$J$16)</f>
        <v>112.11</v>
      </c>
      <c r="H21" s="698">
        <f t="shared" ref="H21:H46" si="3">ROUND(F21*E21,2)</f>
        <v>48378</v>
      </c>
      <c r="I21" s="1497">
        <f>ROUND(G21*E21,2)</f>
        <v>61660.5</v>
      </c>
      <c r="K21" s="687">
        <v>50.8</v>
      </c>
      <c r="L21" s="687">
        <f t="shared" si="0"/>
        <v>40.177159126858598</v>
      </c>
      <c r="M21" s="699">
        <v>56.11</v>
      </c>
    </row>
    <row r="22" spans="1:13" ht="28.5">
      <c r="A22" s="694"/>
      <c r="B22" s="1496">
        <v>92268</v>
      </c>
      <c r="C22" s="695" t="s">
        <v>801</v>
      </c>
      <c r="D22" s="696" t="s">
        <v>2</v>
      </c>
      <c r="E22" s="698">
        <f>'MC-PONTE'!L229</f>
        <v>257.35000000000002</v>
      </c>
      <c r="F22" s="697">
        <v>97.1</v>
      </c>
      <c r="G22" s="698">
        <f>F22*(1+'PLANILHA GERAL'!$J$16)</f>
        <v>123.76</v>
      </c>
      <c r="H22" s="698">
        <f t="shared" si="3"/>
        <v>24988.69</v>
      </c>
      <c r="I22" s="1497">
        <f>ROUND(G22*E22,2)</f>
        <v>31849.64</v>
      </c>
      <c r="K22" s="687">
        <v>28.752455999999999</v>
      </c>
      <c r="L22" s="687">
        <f t="shared" si="0"/>
        <v>22.74</v>
      </c>
      <c r="M22" s="699">
        <v>52.16</v>
      </c>
    </row>
    <row r="23" spans="1:13" ht="28.5">
      <c r="A23" s="694"/>
      <c r="B23" s="1496">
        <v>92767</v>
      </c>
      <c r="C23" s="695" t="s">
        <v>1725</v>
      </c>
      <c r="D23" s="696" t="s">
        <v>791</v>
      </c>
      <c r="E23" s="698">
        <f>'MC-PONTE'!L291</f>
        <v>2575.36</v>
      </c>
      <c r="F23" s="697">
        <v>15.2</v>
      </c>
      <c r="G23" s="698">
        <f>F23*(1+'PLANILHA GERAL'!$J$16)</f>
        <v>19.37</v>
      </c>
      <c r="H23" s="698">
        <f t="shared" si="3"/>
        <v>39145.47</v>
      </c>
      <c r="I23" s="1497">
        <f>ROUND(G23*E23,2)</f>
        <v>49884.72</v>
      </c>
      <c r="K23" s="703">
        <v>7.91</v>
      </c>
      <c r="L23" s="687">
        <f t="shared" si="0"/>
        <v>6.2559316671939298</v>
      </c>
      <c r="M23" s="699">
        <v>10.52</v>
      </c>
    </row>
    <row r="24" spans="1:13" ht="42.75">
      <c r="A24" s="694"/>
      <c r="B24" s="1496">
        <v>96555</v>
      </c>
      <c r="C24" s="695" t="s">
        <v>798</v>
      </c>
      <c r="D24" s="696" t="s">
        <v>0</v>
      </c>
      <c r="E24" s="698">
        <f>'MC-PONTE'!L298</f>
        <v>49.54</v>
      </c>
      <c r="F24" s="697">
        <v>924.74</v>
      </c>
      <c r="G24" s="698">
        <f>F24*(1+'PLANILHA GERAL'!$J$16)</f>
        <v>1178.67</v>
      </c>
      <c r="H24" s="698">
        <f t="shared" si="3"/>
        <v>45811.62</v>
      </c>
      <c r="I24" s="1497">
        <f>ROUND(G24*E24,2)</f>
        <v>58391.31</v>
      </c>
      <c r="K24" s="703">
        <v>635.26</v>
      </c>
      <c r="L24" s="687">
        <f t="shared" si="0"/>
        <v>502.42012021512198</v>
      </c>
      <c r="M24" s="699">
        <v>446.66</v>
      </c>
    </row>
    <row r="25" spans="1:13" ht="27.4" customHeight="1">
      <c r="A25" s="694"/>
      <c r="B25" s="1496">
        <v>101793</v>
      </c>
      <c r="C25" s="695" t="s">
        <v>802</v>
      </c>
      <c r="D25" s="696" t="s">
        <v>512</v>
      </c>
      <c r="E25" s="698">
        <f>'MC-PONTE'!L335</f>
        <v>1192.5</v>
      </c>
      <c r="F25" s="697">
        <v>27.74</v>
      </c>
      <c r="G25" s="698">
        <f>F25*(1+'PLANILHA GERAL'!$J$16)</f>
        <v>35.36</v>
      </c>
      <c r="H25" s="698">
        <f t="shared" si="3"/>
        <v>33079.949999999997</v>
      </c>
      <c r="I25" s="1497">
        <f>ROUND(G25*E25,2)</f>
        <v>42166.8</v>
      </c>
      <c r="K25" s="703">
        <v>27.49</v>
      </c>
      <c r="L25" s="687">
        <f t="shared" si="0"/>
        <v>21.7415374881367</v>
      </c>
      <c r="M25" s="699">
        <v>18.46</v>
      </c>
    </row>
    <row r="26" spans="1:13">
      <c r="A26" s="689"/>
      <c r="B26" s="1499"/>
      <c r="C26" s="701" t="s">
        <v>803</v>
      </c>
      <c r="D26" s="700"/>
      <c r="E26" s="700"/>
      <c r="F26" s="700"/>
      <c r="G26" s="700"/>
      <c r="H26" s="700">
        <f>SUBTOTAL(9,H27:H29)</f>
        <v>55061.46</v>
      </c>
      <c r="I26" s="1500">
        <f>SUBTOTAL(9,I27:I29)</f>
        <v>70173.69</v>
      </c>
      <c r="L26" s="687">
        <f t="shared" si="0"/>
        <v>0</v>
      </c>
      <c r="M26" s="702"/>
    </row>
    <row r="27" spans="1:13" ht="28.5">
      <c r="A27" s="694"/>
      <c r="B27" s="1496">
        <v>92268</v>
      </c>
      <c r="C27" s="695" t="s">
        <v>801</v>
      </c>
      <c r="D27" s="696" t="s">
        <v>2</v>
      </c>
      <c r="E27" s="698">
        <f>'MC-PONTE'!L348</f>
        <v>95.8</v>
      </c>
      <c r="F27" s="697">
        <f>F22</f>
        <v>97.1</v>
      </c>
      <c r="G27" s="698">
        <f>F27*(1+'PLANILHA GERAL'!$J$16)</f>
        <v>123.76</v>
      </c>
      <c r="H27" s="698">
        <f t="shared" si="3"/>
        <v>9302.18</v>
      </c>
      <c r="I27" s="1497">
        <f>ROUND(G27*E27,2)</f>
        <v>11856.21</v>
      </c>
      <c r="K27" s="687">
        <v>2134.81</v>
      </c>
      <c r="L27" s="687">
        <f t="shared" si="0"/>
        <v>1688.3976589686799</v>
      </c>
      <c r="M27" s="699">
        <v>52.16</v>
      </c>
    </row>
    <row r="28" spans="1:13" ht="28.5">
      <c r="A28" s="694"/>
      <c r="B28" s="1496">
        <v>92767</v>
      </c>
      <c r="C28" s="695" t="s">
        <v>1725</v>
      </c>
      <c r="D28" s="696" t="s">
        <v>791</v>
      </c>
      <c r="E28" s="698">
        <f>'MC-PONTE'!L360</f>
        <v>1844.82</v>
      </c>
      <c r="F28" s="697">
        <f>F23</f>
        <v>15.2</v>
      </c>
      <c r="G28" s="698">
        <f>F28*(1+'PLANILHA GERAL'!$J$16)</f>
        <v>19.37</v>
      </c>
      <c r="H28" s="698">
        <f t="shared" si="3"/>
        <v>28041.26</v>
      </c>
      <c r="I28" s="1497">
        <f>ROUND(G28*E28,2)</f>
        <v>35734.160000000003</v>
      </c>
      <c r="L28" s="687">
        <f t="shared" si="0"/>
        <v>0</v>
      </c>
      <c r="M28" s="699">
        <v>10.52</v>
      </c>
    </row>
    <row r="29" spans="1:13" ht="42.75">
      <c r="A29" s="694"/>
      <c r="B29" s="1496">
        <v>96555</v>
      </c>
      <c r="C29" s="695" t="s">
        <v>798</v>
      </c>
      <c r="D29" s="696" t="s">
        <v>512</v>
      </c>
      <c r="E29" s="698">
        <f>'MC-PONTE'!L368</f>
        <v>19.16</v>
      </c>
      <c r="F29" s="697">
        <f>F24</f>
        <v>924.74</v>
      </c>
      <c r="G29" s="698">
        <f>F29*(1+'PLANILHA GERAL'!$J$16)</f>
        <v>1178.67</v>
      </c>
      <c r="H29" s="698">
        <f t="shared" si="3"/>
        <v>17718.02</v>
      </c>
      <c r="I29" s="1497">
        <f>ROUND(G29*E29,2)</f>
        <v>22583.32</v>
      </c>
      <c r="L29" s="687">
        <f t="shared" si="0"/>
        <v>0</v>
      </c>
      <c r="M29" s="699">
        <v>446.66</v>
      </c>
    </row>
    <row r="30" spans="1:13">
      <c r="A30" s="689"/>
      <c r="B30" s="1499"/>
      <c r="C30" s="701" t="s">
        <v>804</v>
      </c>
      <c r="D30" s="700"/>
      <c r="E30" s="700"/>
      <c r="F30" s="700"/>
      <c r="G30" s="700"/>
      <c r="H30" s="700">
        <f>SUBTOTAL(9,H31:H32)</f>
        <v>210330.32</v>
      </c>
      <c r="I30" s="1500">
        <f>SUBTOTAL(9,I31:I32)</f>
        <v>268087.49</v>
      </c>
      <c r="L30" s="687">
        <f t="shared" si="0"/>
        <v>0</v>
      </c>
      <c r="M30" s="702"/>
    </row>
    <row r="31" spans="1:13" ht="57">
      <c r="A31" s="694"/>
      <c r="B31" s="1496">
        <v>41333</v>
      </c>
      <c r="C31" s="695" t="s">
        <v>805</v>
      </c>
      <c r="D31" s="696" t="s">
        <v>3</v>
      </c>
      <c r="E31" s="698">
        <f>'MC-PONTE'!L378</f>
        <v>576</v>
      </c>
      <c r="F31" s="697">
        <v>338.89</v>
      </c>
      <c r="G31" s="698">
        <f>F31*(1+'PLANILHA GERAL'!$J$16)</f>
        <v>431.95</v>
      </c>
      <c r="H31" s="698">
        <f t="shared" si="3"/>
        <v>195200.64000000001</v>
      </c>
      <c r="I31" s="1497">
        <f>ROUND(G31*E31,2)</f>
        <v>248803.20000000001</v>
      </c>
      <c r="K31" s="687">
        <v>161.83000000000001</v>
      </c>
      <c r="L31" s="687">
        <f t="shared" si="0"/>
        <v>127.989560265739</v>
      </c>
      <c r="M31" s="699">
        <v>66.37</v>
      </c>
    </row>
    <row r="32" spans="1:13" ht="24.75" customHeight="1">
      <c r="A32" s="694"/>
      <c r="B32" s="1501">
        <v>41496</v>
      </c>
      <c r="C32" s="695" t="s">
        <v>806</v>
      </c>
      <c r="D32" s="696" t="s">
        <v>807</v>
      </c>
      <c r="E32" s="698">
        <v>1</v>
      </c>
      <c r="F32" s="697">
        <v>15129.68</v>
      </c>
      <c r="G32" s="698">
        <f>F32*(1+'PLANILHA GERAL'!$J$16)</f>
        <v>19284.29</v>
      </c>
      <c r="H32" s="698">
        <f t="shared" si="3"/>
        <v>15129.68</v>
      </c>
      <c r="I32" s="1497">
        <f>ROUND(G32*E32,2)</f>
        <v>19284.29</v>
      </c>
      <c r="K32" s="687">
        <v>1638.03</v>
      </c>
      <c r="L32" s="687">
        <f t="shared" si="0"/>
        <v>1295.4998418222101</v>
      </c>
      <c r="M32" s="699">
        <v>1295.5</v>
      </c>
    </row>
    <row r="33" spans="1:13">
      <c r="A33" s="689"/>
      <c r="B33" s="1499"/>
      <c r="C33" s="701" t="s">
        <v>808</v>
      </c>
      <c r="D33" s="700"/>
      <c r="E33" s="700"/>
      <c r="F33" s="700"/>
      <c r="G33" s="700"/>
      <c r="H33" s="700">
        <f>SUBTOTAL(9,H34:H36)</f>
        <v>76665.710000000006</v>
      </c>
      <c r="I33" s="1500">
        <f>SUBTOTAL(9,I34:I36)</f>
        <v>97716.91</v>
      </c>
      <c r="L33" s="687">
        <f t="shared" si="0"/>
        <v>0</v>
      </c>
      <c r="M33" s="702"/>
    </row>
    <row r="34" spans="1:13" ht="24.75" customHeight="1">
      <c r="A34" s="694"/>
      <c r="B34" s="1496">
        <v>92266</v>
      </c>
      <c r="C34" s="695" t="s">
        <v>796</v>
      </c>
      <c r="D34" s="696" t="s">
        <v>2</v>
      </c>
      <c r="E34" s="698">
        <f>'MC-PONTE'!L411</f>
        <v>236.78</v>
      </c>
      <c r="F34" s="697">
        <f>F17</f>
        <v>168.34</v>
      </c>
      <c r="G34" s="698">
        <f>F34*(1+'PLANILHA GERAL'!$J$16)</f>
        <v>214.57</v>
      </c>
      <c r="H34" s="698">
        <f t="shared" si="3"/>
        <v>39859.550000000003</v>
      </c>
      <c r="I34" s="1497">
        <f>ROUND(G34*E34,2)</f>
        <v>50805.88</v>
      </c>
      <c r="K34" s="687">
        <v>56.09</v>
      </c>
      <c r="L34" s="687">
        <f t="shared" si="0"/>
        <v>44.360961720974402</v>
      </c>
      <c r="M34" s="699">
        <v>52.16</v>
      </c>
    </row>
    <row r="35" spans="1:13" ht="42.75">
      <c r="A35" s="694"/>
      <c r="B35" s="1496">
        <v>92759</v>
      </c>
      <c r="C35" s="695" t="s">
        <v>797</v>
      </c>
      <c r="D35" s="696" t="s">
        <v>791</v>
      </c>
      <c r="E35" s="698">
        <f>'MC-PONTE'!L423</f>
        <v>825.2</v>
      </c>
      <c r="F35" s="697">
        <f>F18</f>
        <v>13.92</v>
      </c>
      <c r="G35" s="698">
        <f>F35*(1+'PLANILHA GERAL'!$J$16)</f>
        <v>17.739999999999998</v>
      </c>
      <c r="H35" s="698">
        <f t="shared" si="3"/>
        <v>11486.78</v>
      </c>
      <c r="I35" s="1497">
        <f>ROUND(G35*E35,2)</f>
        <v>14639.05</v>
      </c>
      <c r="K35" s="687">
        <v>7.91</v>
      </c>
      <c r="L35" s="687">
        <f t="shared" si="0"/>
        <v>6.2559316671939298</v>
      </c>
      <c r="M35" s="699">
        <v>10.52</v>
      </c>
    </row>
    <row r="36" spans="1:13" ht="42.75">
      <c r="A36" s="694"/>
      <c r="B36" s="1496">
        <v>96555</v>
      </c>
      <c r="C36" s="695" t="s">
        <v>798</v>
      </c>
      <c r="D36" s="696" t="s">
        <v>0</v>
      </c>
      <c r="E36" s="698">
        <f>'MC-PONTE'!L431</f>
        <v>27.38</v>
      </c>
      <c r="F36" s="697">
        <f>F29</f>
        <v>924.74</v>
      </c>
      <c r="G36" s="698">
        <f>F36*(1+'PLANILHA GERAL'!$J$16)</f>
        <v>1178.67</v>
      </c>
      <c r="H36" s="698">
        <f t="shared" si="3"/>
        <v>25319.38</v>
      </c>
      <c r="I36" s="1497">
        <f>ROUND(G36*E36,2)</f>
        <v>32271.98</v>
      </c>
      <c r="K36" s="687">
        <v>635.25984800000003</v>
      </c>
      <c r="L36" s="687">
        <f t="shared" si="0"/>
        <v>502.42</v>
      </c>
      <c r="M36" s="699">
        <v>446.66</v>
      </c>
    </row>
    <row r="37" spans="1:13">
      <c r="A37" s="689"/>
      <c r="B37" s="1499"/>
      <c r="C37" s="701" t="s">
        <v>809</v>
      </c>
      <c r="D37" s="700"/>
      <c r="E37" s="700"/>
      <c r="F37" s="700"/>
      <c r="G37" s="700"/>
      <c r="H37" s="700">
        <f>SUBTOTAL(9,H38:H40)</f>
        <v>104765.37</v>
      </c>
      <c r="I37" s="1500">
        <f>SUBTOTAL(9,I38:I40)</f>
        <v>133532.24</v>
      </c>
      <c r="L37" s="687">
        <f t="shared" si="0"/>
        <v>0</v>
      </c>
      <c r="M37" s="702"/>
    </row>
    <row r="38" spans="1:13" ht="28.5">
      <c r="A38" s="694"/>
      <c r="B38" s="1496">
        <v>92266</v>
      </c>
      <c r="C38" s="695" t="s">
        <v>796</v>
      </c>
      <c r="D38" s="696" t="s">
        <v>2</v>
      </c>
      <c r="E38" s="698">
        <f>'MC-PONTE'!L444</f>
        <v>324.3</v>
      </c>
      <c r="F38" s="697">
        <f>F34</f>
        <v>168.34</v>
      </c>
      <c r="G38" s="698">
        <f>F38*(1+'PLANILHA GERAL'!$J$16)</f>
        <v>214.57</v>
      </c>
      <c r="H38" s="698">
        <f t="shared" si="3"/>
        <v>54592.66</v>
      </c>
      <c r="I38" s="1497">
        <f>ROUND(G38*E38,2)</f>
        <v>69585.05</v>
      </c>
      <c r="K38" s="687">
        <v>56.09</v>
      </c>
      <c r="L38" s="687">
        <f t="shared" si="0"/>
        <v>44.360961720974402</v>
      </c>
      <c r="M38" s="699">
        <v>52.16</v>
      </c>
    </row>
    <row r="39" spans="1:13" ht="42.75">
      <c r="A39" s="694"/>
      <c r="B39" s="1496">
        <v>92759</v>
      </c>
      <c r="C39" s="695" t="s">
        <v>797</v>
      </c>
      <c r="D39" s="696" t="s">
        <v>791</v>
      </c>
      <c r="E39" s="698">
        <f>'MC-PONTE'!L478</f>
        <v>1155.6600000000001</v>
      </c>
      <c r="F39" s="697">
        <f>F35</f>
        <v>13.92</v>
      </c>
      <c r="G39" s="698">
        <f>F39*(1+'PLANILHA GERAL'!$J$16)</f>
        <v>17.739999999999998</v>
      </c>
      <c r="H39" s="698">
        <f t="shared" si="3"/>
        <v>16086.79</v>
      </c>
      <c r="I39" s="1497">
        <f>ROUND(G39*E39,2)</f>
        <v>20501.41</v>
      </c>
      <c r="K39" s="687">
        <v>7.91</v>
      </c>
      <c r="L39" s="687">
        <f t="shared" si="0"/>
        <v>6.2559316671939298</v>
      </c>
      <c r="M39" s="699">
        <v>10.52</v>
      </c>
    </row>
    <row r="40" spans="1:13" ht="42.75">
      <c r="A40" s="694"/>
      <c r="B40" s="1496">
        <v>96555</v>
      </c>
      <c r="C40" s="695" t="s">
        <v>798</v>
      </c>
      <c r="D40" s="696" t="s">
        <v>0</v>
      </c>
      <c r="E40" s="698">
        <f>'MC-PONTE'!L487</f>
        <v>36.86</v>
      </c>
      <c r="F40" s="697">
        <f>F36</f>
        <v>924.74</v>
      </c>
      <c r="G40" s="698">
        <f>F40*(1+'PLANILHA GERAL'!$J$16)</f>
        <v>1178.67</v>
      </c>
      <c r="H40" s="698">
        <f t="shared" si="3"/>
        <v>34085.919999999998</v>
      </c>
      <c r="I40" s="1497">
        <f>ROUND(G40*E40,2)</f>
        <v>43445.78</v>
      </c>
      <c r="K40" s="687">
        <v>635.25984800000003</v>
      </c>
      <c r="L40" s="687">
        <f t="shared" si="0"/>
        <v>502.42</v>
      </c>
      <c r="M40" s="699">
        <v>446.66</v>
      </c>
    </row>
    <row r="41" spans="1:13">
      <c r="A41" s="689"/>
      <c r="B41" s="1499"/>
      <c r="C41" s="701" t="s">
        <v>810</v>
      </c>
      <c r="D41" s="700"/>
      <c r="E41" s="700"/>
      <c r="F41" s="700"/>
      <c r="G41" s="700"/>
      <c r="H41" s="700">
        <f>SUBTOTAL(9,H42:H44)</f>
        <v>23566.32</v>
      </c>
      <c r="I41" s="1500">
        <f>SUBTOTAL(9,I42:I44)</f>
        <v>30037.51</v>
      </c>
      <c r="L41" s="687">
        <f t="shared" si="0"/>
        <v>0</v>
      </c>
      <c r="M41" s="702"/>
    </row>
    <row r="42" spans="1:13" ht="28.5">
      <c r="A42" s="694"/>
      <c r="B42" s="1496">
        <v>92266</v>
      </c>
      <c r="C42" s="695" t="s">
        <v>796</v>
      </c>
      <c r="D42" s="696" t="s">
        <v>2</v>
      </c>
      <c r="E42" s="698">
        <f>'MC-PONTE'!L501</f>
        <v>101.2</v>
      </c>
      <c r="F42" s="697">
        <f>F38</f>
        <v>168.34</v>
      </c>
      <c r="G42" s="698">
        <f>F42*(1+'PLANILHA GERAL'!$J$16)</f>
        <v>214.57</v>
      </c>
      <c r="H42" s="698">
        <f t="shared" si="3"/>
        <v>17036.009999999998</v>
      </c>
      <c r="I42" s="1497">
        <f>ROUND(G42*E42,2)</f>
        <v>21714.48</v>
      </c>
      <c r="K42" s="687">
        <v>56.09</v>
      </c>
      <c r="L42" s="687">
        <f t="shared" si="0"/>
        <v>44.360961720974402</v>
      </c>
      <c r="M42" s="699">
        <v>52.16</v>
      </c>
    </row>
    <row r="43" spans="1:13" ht="42.75">
      <c r="A43" s="694"/>
      <c r="B43" s="1496">
        <v>92759</v>
      </c>
      <c r="C43" s="695" t="s">
        <v>797</v>
      </c>
      <c r="D43" s="696" t="s">
        <v>791</v>
      </c>
      <c r="E43" s="698">
        <f>'MC-PONTE'!L538</f>
        <v>200.08</v>
      </c>
      <c r="F43" s="697">
        <f>F39</f>
        <v>13.92</v>
      </c>
      <c r="G43" s="698">
        <f>F43*(1+'PLANILHA GERAL'!$J$16)</f>
        <v>17.739999999999998</v>
      </c>
      <c r="H43" s="698">
        <f t="shared" si="3"/>
        <v>2785.11</v>
      </c>
      <c r="I43" s="1497">
        <f>ROUND(G43*E43,2)</f>
        <v>3549.42</v>
      </c>
      <c r="K43" s="687">
        <v>7.91</v>
      </c>
      <c r="L43" s="687">
        <f t="shared" si="0"/>
        <v>6.2559316671939298</v>
      </c>
      <c r="M43" s="699">
        <v>10.52</v>
      </c>
    </row>
    <row r="44" spans="1:13" ht="42.75">
      <c r="A44" s="694"/>
      <c r="B44" s="1496">
        <v>96555</v>
      </c>
      <c r="C44" s="695" t="s">
        <v>798</v>
      </c>
      <c r="D44" s="696" t="s">
        <v>0</v>
      </c>
      <c r="E44" s="698">
        <f>'MC-PONTE'!L547</f>
        <v>4.05</v>
      </c>
      <c r="F44" s="697">
        <f>F40</f>
        <v>924.74</v>
      </c>
      <c r="G44" s="698">
        <f>F44*(1+'PLANILHA GERAL'!$J$16)</f>
        <v>1178.67</v>
      </c>
      <c r="H44" s="698">
        <f t="shared" si="3"/>
        <v>3745.2</v>
      </c>
      <c r="I44" s="1497">
        <f>ROUND(G44*E44,2)</f>
        <v>4773.6099999999997</v>
      </c>
      <c r="K44" s="687">
        <v>635.25984800000003</v>
      </c>
      <c r="L44" s="687">
        <f t="shared" si="0"/>
        <v>502.42</v>
      </c>
      <c r="M44" s="699">
        <v>446.66</v>
      </c>
    </row>
    <row r="45" spans="1:13">
      <c r="A45" s="689"/>
      <c r="B45" s="1499"/>
      <c r="C45" s="701" t="s">
        <v>811</v>
      </c>
      <c r="D45" s="700"/>
      <c r="E45" s="700"/>
      <c r="F45" s="700"/>
      <c r="G45" s="700"/>
      <c r="H45" s="700">
        <f>SUBTOTAL(9,H46)</f>
        <v>871.85</v>
      </c>
      <c r="I45" s="1500">
        <f>SUBTOTAL(9,I46)</f>
        <v>1110.3499999999999</v>
      </c>
      <c r="L45" s="687">
        <f t="shared" si="0"/>
        <v>0</v>
      </c>
      <c r="M45" s="702"/>
    </row>
    <row r="46" spans="1:13" ht="24.75" customHeight="1" thickBot="1">
      <c r="A46" s="704"/>
      <c r="B46" s="1502">
        <v>99811</v>
      </c>
      <c r="C46" s="705" t="s">
        <v>812</v>
      </c>
      <c r="D46" s="706" t="s">
        <v>2</v>
      </c>
      <c r="E46" s="707">
        <f>'MC-PONTE'!L576</f>
        <v>265</v>
      </c>
      <c r="F46" s="708">
        <v>3.29</v>
      </c>
      <c r="G46" s="698">
        <f>F46*(1+'PLANILHA GERAL'!$J$16)</f>
        <v>4.1900000000000004</v>
      </c>
      <c r="H46" s="698">
        <f t="shared" si="3"/>
        <v>871.85</v>
      </c>
      <c r="I46" s="1497">
        <f>ROUND(G46*E46,2)</f>
        <v>1110.3499999999999</v>
      </c>
      <c r="K46" s="687">
        <v>2.14</v>
      </c>
      <c r="L46" s="687">
        <f t="shared" si="0"/>
        <v>1.69250237266688</v>
      </c>
      <c r="M46" s="709"/>
    </row>
    <row r="47" spans="1:13" ht="26.65" customHeight="1" thickBot="1">
      <c r="B47" s="1503"/>
      <c r="C47" s="1504" t="s">
        <v>369</v>
      </c>
      <c r="D47" s="1505"/>
      <c r="E47" s="1505"/>
      <c r="F47" s="1505"/>
      <c r="G47" s="1506"/>
      <c r="H47" s="1507">
        <f>SUBTOTAL(9,H6:H46)</f>
        <v>1031068.9</v>
      </c>
      <c r="I47" s="1508">
        <f>SUBTOTAL(9,I6:I46)</f>
        <v>1314164.94</v>
      </c>
    </row>
    <row r="48" spans="1:13" ht="2.65" customHeight="1"/>
    <row r="50" spans="8:9">
      <c r="H50" s="711">
        <f>H45+H41+H37+H33+H30+H26+H20+H16+H10+H6</f>
        <v>1031068.9</v>
      </c>
      <c r="I50" s="711">
        <f>I45+I41+I37+I33+I30+I26+I20+I16+I10+I6</f>
        <v>1314164.94</v>
      </c>
    </row>
    <row r="51" spans="8:9">
      <c r="H51" s="712">
        <f>SUMPRODUCT(D7:D46,E7:E46)</f>
        <v>0</v>
      </c>
      <c r="I51" s="712">
        <f>SUMPRODUCT(E7:E46,F7:F46)</f>
        <v>1031068.88</v>
      </c>
    </row>
    <row r="52" spans="8:9">
      <c r="H52" s="710">
        <f>H51*1.25</f>
        <v>0</v>
      </c>
      <c r="I52" s="710">
        <f>I51*1.25</f>
        <v>1288836.1000000001</v>
      </c>
    </row>
  </sheetData>
  <mergeCells count="2">
    <mergeCell ref="B2:I2"/>
    <mergeCell ref="M2:M4"/>
  </mergeCells>
  <printOptions horizontalCentered="1"/>
  <pageMargins left="0.51181102362204722" right="0.51181102362204722" top="0.78740157480314965" bottom="0.78740157480314965"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Q583"/>
  <sheetViews>
    <sheetView view="pageBreakPreview" zoomScale="60" zoomScaleNormal="55" workbookViewId="0">
      <selection activeCell="H580" sqref="H580"/>
    </sheetView>
  </sheetViews>
  <sheetFormatPr defaultColWidth="9.140625" defaultRowHeight="12.75"/>
  <cols>
    <col min="1" max="1" width="5.7109375" style="652" customWidth="1"/>
    <col min="2" max="2" width="9.140625" style="652"/>
    <col min="3" max="3" width="14.28515625" style="652" customWidth="1"/>
    <col min="4" max="4" width="29.7109375" style="652" customWidth="1"/>
    <col min="5" max="5" width="16.28515625" style="652" customWidth="1"/>
    <col min="6" max="6" width="20" style="652" customWidth="1"/>
    <col min="7" max="7" width="12.85546875" style="652" customWidth="1"/>
    <col min="8" max="8" width="21.7109375" style="652" customWidth="1"/>
    <col min="9" max="9" width="3" style="652" customWidth="1"/>
    <col min="10" max="10" width="3.85546875" style="652" customWidth="1"/>
    <col min="11" max="11" width="8.85546875" style="652" customWidth="1"/>
    <col min="12" max="12" width="12.28515625" style="652" bestFit="1" customWidth="1"/>
    <col min="13" max="13" width="4.85546875" style="652" customWidth="1"/>
    <col min="14" max="16384" width="9.140625" style="652"/>
  </cols>
  <sheetData>
    <row r="1" spans="2:14" ht="84.75" customHeight="1" thickBot="1">
      <c r="B1" s="1781" t="s">
        <v>759</v>
      </c>
      <c r="C1" s="1782"/>
      <c r="D1" s="1782"/>
      <c r="E1" s="1782"/>
      <c r="F1" s="1782"/>
      <c r="G1" s="1782"/>
      <c r="H1" s="1782"/>
      <c r="I1" s="1782"/>
      <c r="J1" s="1782"/>
      <c r="K1" s="1782"/>
      <c r="L1" s="1783"/>
    </row>
    <row r="2" spans="2:14" ht="22.9" customHeight="1">
      <c r="B2" s="1784" t="s">
        <v>1928</v>
      </c>
      <c r="C2" s="1785"/>
      <c r="D2" s="1785"/>
      <c r="E2" s="1785"/>
      <c r="F2" s="1785"/>
      <c r="G2" s="1785"/>
      <c r="H2" s="1785"/>
      <c r="I2" s="1785"/>
      <c r="J2" s="1785"/>
      <c r="K2" s="1785"/>
      <c r="L2" s="1786"/>
      <c r="N2" s="1401" t="s">
        <v>1646</v>
      </c>
    </row>
    <row r="3" spans="2:14" ht="21.4" customHeight="1">
      <c r="B3" s="1787" t="s">
        <v>813</v>
      </c>
      <c r="C3" s="1788"/>
      <c r="D3" s="1788"/>
      <c r="E3" s="1788"/>
      <c r="F3" s="1788"/>
      <c r="G3" s="1788"/>
      <c r="H3" s="1788"/>
      <c r="I3" s="1788"/>
      <c r="J3" s="1788"/>
      <c r="K3" s="1788"/>
      <c r="L3" s="1789"/>
      <c r="N3" s="1402">
        <v>0.25</v>
      </c>
    </row>
    <row r="4" spans="2:14" ht="15.75">
      <c r="B4" s="713" t="s">
        <v>6</v>
      </c>
      <c r="C4" s="1790" t="s">
        <v>760</v>
      </c>
      <c r="D4" s="1791"/>
      <c r="E4" s="1791"/>
      <c r="F4" s="1791"/>
      <c r="G4" s="1791"/>
      <c r="H4" s="1791"/>
      <c r="I4" s="714"/>
      <c r="J4" s="714"/>
      <c r="K4" s="715" t="s">
        <v>462</v>
      </c>
      <c r="L4" s="716" t="s">
        <v>761</v>
      </c>
    </row>
    <row r="5" spans="2:14" ht="15.75">
      <c r="B5" s="717" t="s">
        <v>360</v>
      </c>
      <c r="C5" s="1792" t="s">
        <v>762</v>
      </c>
      <c r="D5" s="1792"/>
      <c r="E5" s="1792"/>
      <c r="F5" s="1792"/>
      <c r="G5" s="1792"/>
      <c r="H5" s="1792"/>
      <c r="I5" s="718"/>
      <c r="J5" s="718"/>
      <c r="K5" s="719"/>
      <c r="L5" s="720"/>
    </row>
    <row r="6" spans="2:14">
      <c r="B6" s="653"/>
      <c r="C6" s="654"/>
      <c r="D6" s="654"/>
      <c r="E6" s="654"/>
      <c r="F6" s="654"/>
      <c r="G6" s="654"/>
      <c r="H6" s="654"/>
      <c r="I6" s="654"/>
      <c r="J6" s="654"/>
      <c r="K6" s="655"/>
      <c r="L6" s="656"/>
    </row>
    <row r="7" spans="2:14" ht="15.75">
      <c r="B7" s="721" t="s">
        <v>763</v>
      </c>
      <c r="C7" s="1771" t="s">
        <v>764</v>
      </c>
      <c r="D7" s="1771"/>
      <c r="E7" s="1771"/>
      <c r="F7" s="1771"/>
      <c r="G7" s="1771"/>
      <c r="H7" s="1771"/>
      <c r="I7" s="722"/>
      <c r="J7" s="722"/>
      <c r="K7" s="723"/>
      <c r="L7" s="724"/>
    </row>
    <row r="8" spans="2:14">
      <c r="B8" s="653"/>
      <c r="C8" s="654"/>
      <c r="D8" s="654"/>
      <c r="E8" s="654"/>
      <c r="F8" s="654"/>
      <c r="G8" s="654"/>
      <c r="H8" s="654"/>
      <c r="I8" s="654"/>
      <c r="J8" s="654"/>
      <c r="K8" s="655"/>
      <c r="L8" s="656"/>
    </row>
    <row r="9" spans="2:14" ht="15.75" customHeight="1">
      <c r="B9" s="725" t="s">
        <v>443</v>
      </c>
      <c r="C9" s="1772" t="s">
        <v>765</v>
      </c>
      <c r="D9" s="1772"/>
      <c r="E9" s="1772"/>
      <c r="F9" s="1772"/>
      <c r="G9" s="1772"/>
      <c r="H9" s="1772"/>
      <c r="I9" s="726"/>
      <c r="J9" s="726"/>
      <c r="K9" s="727" t="s">
        <v>766</v>
      </c>
      <c r="L9" s="728">
        <f>G40</f>
        <v>265</v>
      </c>
    </row>
    <row r="10" spans="2:14" hidden="1">
      <c r="B10" s="653"/>
      <c r="C10" s="654"/>
      <c r="K10" s="655"/>
      <c r="L10" s="656"/>
    </row>
    <row r="11" spans="2:14" hidden="1">
      <c r="B11" s="653"/>
      <c r="C11" s="654"/>
      <c r="K11" s="655"/>
      <c r="L11" s="656"/>
    </row>
    <row r="12" spans="2:14" hidden="1">
      <c r="B12" s="653"/>
      <c r="C12" s="654"/>
      <c r="K12" s="655"/>
      <c r="L12" s="656"/>
    </row>
    <row r="13" spans="2:14" hidden="1">
      <c r="B13" s="653"/>
      <c r="C13" s="654"/>
      <c r="K13" s="655"/>
      <c r="L13" s="656"/>
    </row>
    <row r="14" spans="2:14" hidden="1">
      <c r="B14" s="653"/>
      <c r="C14" s="654"/>
      <c r="K14" s="655"/>
      <c r="L14" s="656"/>
    </row>
    <row r="15" spans="2:14" hidden="1">
      <c r="B15" s="653"/>
      <c r="C15" s="654"/>
      <c r="K15" s="655"/>
      <c r="L15" s="656"/>
    </row>
    <row r="16" spans="2:14" hidden="1">
      <c r="B16" s="653"/>
      <c r="C16" s="654"/>
      <c r="K16" s="655"/>
      <c r="L16" s="656"/>
    </row>
    <row r="17" spans="2:12" hidden="1">
      <c r="B17" s="653"/>
      <c r="C17" s="654"/>
      <c r="K17" s="655"/>
      <c r="L17" s="656"/>
    </row>
    <row r="18" spans="2:12" hidden="1">
      <c r="B18" s="653"/>
      <c r="C18" s="654"/>
      <c r="K18" s="655"/>
      <c r="L18" s="656"/>
    </row>
    <row r="19" spans="2:12" hidden="1">
      <c r="B19" s="653"/>
      <c r="C19" s="654"/>
      <c r="K19" s="655"/>
      <c r="L19" s="656"/>
    </row>
    <row r="20" spans="2:12" hidden="1">
      <c r="B20" s="653"/>
      <c r="C20" s="654"/>
      <c r="K20" s="655"/>
      <c r="L20" s="656"/>
    </row>
    <row r="21" spans="2:12" hidden="1">
      <c r="B21" s="653"/>
      <c r="C21" s="654"/>
      <c r="K21" s="655"/>
      <c r="L21" s="656"/>
    </row>
    <row r="22" spans="2:12" hidden="1">
      <c r="B22" s="653"/>
      <c r="C22" s="654"/>
      <c r="K22" s="655"/>
      <c r="L22" s="656"/>
    </row>
    <row r="23" spans="2:12" hidden="1">
      <c r="B23" s="653"/>
      <c r="C23" s="654"/>
      <c r="K23" s="655"/>
      <c r="L23" s="656"/>
    </row>
    <row r="24" spans="2:12" hidden="1">
      <c r="B24" s="653"/>
      <c r="C24" s="654"/>
      <c r="K24" s="655"/>
      <c r="L24" s="656"/>
    </row>
    <row r="25" spans="2:12" hidden="1">
      <c r="B25" s="653"/>
      <c r="C25" s="654"/>
      <c r="K25" s="655"/>
      <c r="L25" s="656"/>
    </row>
    <row r="26" spans="2:12" hidden="1">
      <c r="B26" s="653"/>
      <c r="C26" s="654"/>
      <c r="K26" s="655"/>
      <c r="L26" s="656"/>
    </row>
    <row r="27" spans="2:12" hidden="1">
      <c r="B27" s="653"/>
      <c r="C27" s="654"/>
      <c r="K27" s="655"/>
      <c r="L27" s="656"/>
    </row>
    <row r="28" spans="2:12" hidden="1">
      <c r="B28" s="653"/>
      <c r="C28" s="654"/>
      <c r="K28" s="655"/>
      <c r="L28" s="656"/>
    </row>
    <row r="29" spans="2:12" hidden="1">
      <c r="B29" s="653"/>
      <c r="C29" s="654"/>
      <c r="K29" s="655"/>
      <c r="L29" s="656"/>
    </row>
    <row r="30" spans="2:12" hidden="1">
      <c r="B30" s="653"/>
      <c r="C30" s="654"/>
      <c r="K30" s="655"/>
      <c r="L30" s="656"/>
    </row>
    <row r="31" spans="2:12" hidden="1">
      <c r="B31" s="653"/>
      <c r="C31" s="654"/>
      <c r="K31" s="655"/>
      <c r="L31" s="656"/>
    </row>
    <row r="32" spans="2:12" hidden="1">
      <c r="B32" s="653"/>
      <c r="C32" s="654"/>
      <c r="K32" s="655"/>
      <c r="L32" s="656"/>
    </row>
    <row r="33" spans="2:12" hidden="1">
      <c r="B33" s="653"/>
      <c r="C33" s="654"/>
      <c r="K33" s="655"/>
      <c r="L33" s="656"/>
    </row>
    <row r="34" spans="2:12" hidden="1">
      <c r="B34" s="653"/>
      <c r="C34" s="654"/>
      <c r="K34" s="655"/>
      <c r="L34" s="656"/>
    </row>
    <row r="35" spans="2:12" hidden="1">
      <c r="B35" s="653"/>
      <c r="C35" s="654"/>
      <c r="K35" s="655"/>
      <c r="L35" s="656"/>
    </row>
    <row r="36" spans="2:12" hidden="1">
      <c r="B36" s="653"/>
      <c r="C36" s="654"/>
      <c r="K36" s="655"/>
      <c r="L36" s="656"/>
    </row>
    <row r="37" spans="2:12" ht="18">
      <c r="B37" s="669"/>
      <c r="C37" s="1796"/>
      <c r="D37" s="1797" t="s">
        <v>814</v>
      </c>
      <c r="E37" s="1797"/>
      <c r="F37" s="1797"/>
      <c r="G37" s="1798" t="s">
        <v>815</v>
      </c>
      <c r="H37" s="1798"/>
      <c r="K37" s="660"/>
      <c r="L37" s="661"/>
    </row>
    <row r="38" spans="2:12" ht="15.75">
      <c r="B38" s="669"/>
      <c r="C38" s="1796"/>
      <c r="D38" s="1799" t="s">
        <v>307</v>
      </c>
      <c r="E38" s="1799"/>
      <c r="F38" s="729" t="s">
        <v>816</v>
      </c>
      <c r="G38" s="1798"/>
      <c r="H38" s="1798"/>
      <c r="K38" s="660"/>
      <c r="L38" s="661"/>
    </row>
    <row r="39" spans="2:12" ht="24.75" customHeight="1">
      <c r="B39" s="669"/>
      <c r="C39" s="673"/>
      <c r="D39" s="1800">
        <v>10.6</v>
      </c>
      <c r="E39" s="1800"/>
      <c r="F39" s="730">
        <v>25</v>
      </c>
      <c r="G39" s="1801" t="s">
        <v>817</v>
      </c>
      <c r="H39" s="1801"/>
      <c r="K39" s="660"/>
      <c r="L39" s="661"/>
    </row>
    <row r="40" spans="2:12" ht="18">
      <c r="B40" s="672"/>
      <c r="D40" s="1793" t="s">
        <v>818</v>
      </c>
      <c r="E40" s="1793"/>
      <c r="F40" s="1793"/>
      <c r="G40" s="1794">
        <f>F39*D39</f>
        <v>265</v>
      </c>
      <c r="H40" s="1794"/>
      <c r="K40" s="662"/>
      <c r="L40" s="663"/>
    </row>
    <row r="41" spans="2:12">
      <c r="B41" s="653"/>
      <c r="C41" s="654"/>
      <c r="K41" s="655"/>
      <c r="L41" s="656"/>
    </row>
    <row r="42" spans="2:12" ht="15.75">
      <c r="B42" s="721" t="s">
        <v>772</v>
      </c>
      <c r="C42" s="1771" t="s">
        <v>773</v>
      </c>
      <c r="D42" s="1771"/>
      <c r="E42" s="1771"/>
      <c r="F42" s="1771"/>
      <c r="G42" s="1771"/>
      <c r="H42" s="1771"/>
      <c r="I42" s="722"/>
      <c r="J42" s="722"/>
      <c r="K42" s="723"/>
      <c r="L42" s="724"/>
    </row>
    <row r="43" spans="2:12" hidden="1">
      <c r="B43" s="653"/>
      <c r="C43" s="654"/>
      <c r="K43" s="655"/>
      <c r="L43" s="656"/>
    </row>
    <row r="44" spans="2:12" hidden="1">
      <c r="B44" s="653"/>
      <c r="C44" s="654"/>
      <c r="K44" s="655"/>
      <c r="L44" s="656"/>
    </row>
    <row r="45" spans="2:12" hidden="1">
      <c r="B45" s="653"/>
      <c r="C45" s="654"/>
      <c r="K45" s="655"/>
      <c r="L45" s="656"/>
    </row>
    <row r="46" spans="2:12" hidden="1">
      <c r="B46" s="653"/>
      <c r="C46" s="654"/>
      <c r="K46" s="655"/>
      <c r="L46" s="656"/>
    </row>
    <row r="47" spans="2:12" hidden="1">
      <c r="B47" s="653"/>
      <c r="C47" s="654"/>
      <c r="K47" s="655"/>
      <c r="L47" s="656"/>
    </row>
    <row r="48" spans="2:12" hidden="1">
      <c r="B48" s="653"/>
      <c r="C48" s="654"/>
      <c r="K48" s="655"/>
      <c r="L48" s="656"/>
    </row>
    <row r="49" spans="2:12" hidden="1">
      <c r="B49" s="653"/>
      <c r="C49" s="654"/>
      <c r="K49" s="655"/>
      <c r="L49" s="656"/>
    </row>
    <row r="50" spans="2:12" hidden="1">
      <c r="B50" s="653"/>
      <c r="C50" s="654"/>
      <c r="K50" s="655"/>
      <c r="L50" s="656"/>
    </row>
    <row r="51" spans="2:12" hidden="1">
      <c r="B51" s="653"/>
      <c r="C51" s="654"/>
      <c r="K51" s="655"/>
      <c r="L51" s="656"/>
    </row>
    <row r="52" spans="2:12" hidden="1">
      <c r="B52" s="653"/>
      <c r="C52" s="654"/>
      <c r="K52" s="655"/>
      <c r="L52" s="656"/>
    </row>
    <row r="53" spans="2:12" hidden="1">
      <c r="B53" s="653"/>
      <c r="C53" s="654"/>
      <c r="K53" s="655"/>
      <c r="L53" s="656"/>
    </row>
    <row r="54" spans="2:12" hidden="1">
      <c r="B54" s="653"/>
      <c r="C54" s="654"/>
      <c r="K54" s="655"/>
      <c r="L54" s="656"/>
    </row>
    <row r="55" spans="2:12" hidden="1">
      <c r="B55" s="653"/>
      <c r="C55" s="654"/>
      <c r="K55" s="655"/>
      <c r="L55" s="656"/>
    </row>
    <row r="56" spans="2:12" hidden="1">
      <c r="B56" s="653"/>
      <c r="C56" s="654"/>
      <c r="K56" s="655"/>
      <c r="L56" s="656"/>
    </row>
    <row r="57" spans="2:12" hidden="1">
      <c r="B57" s="653"/>
      <c r="C57" s="654"/>
      <c r="K57" s="655"/>
      <c r="L57" s="656"/>
    </row>
    <row r="58" spans="2:12" hidden="1">
      <c r="B58" s="653"/>
      <c r="C58" s="654"/>
      <c r="K58" s="655"/>
      <c r="L58" s="656"/>
    </row>
    <row r="59" spans="2:12" hidden="1">
      <c r="B59" s="653"/>
      <c r="C59" s="654"/>
      <c r="K59" s="655"/>
      <c r="L59" s="656"/>
    </row>
    <row r="60" spans="2:12" hidden="1">
      <c r="B60" s="653"/>
      <c r="C60" s="654"/>
      <c r="K60" s="655"/>
      <c r="L60" s="656"/>
    </row>
    <row r="61" spans="2:12" hidden="1">
      <c r="B61" s="653"/>
      <c r="C61" s="654"/>
      <c r="K61" s="655"/>
      <c r="L61" s="656"/>
    </row>
    <row r="62" spans="2:12" hidden="1">
      <c r="B62" s="653"/>
      <c r="C62" s="654"/>
      <c r="K62" s="655"/>
      <c r="L62" s="656"/>
    </row>
    <row r="63" spans="2:12" hidden="1">
      <c r="B63" s="653"/>
      <c r="C63" s="654"/>
      <c r="K63" s="655"/>
      <c r="L63" s="656"/>
    </row>
    <row r="64" spans="2:12" hidden="1">
      <c r="B64" s="653"/>
      <c r="C64" s="654"/>
      <c r="K64" s="655"/>
      <c r="L64" s="656"/>
    </row>
    <row r="65" spans="2:12" hidden="1">
      <c r="B65" s="653"/>
      <c r="C65" s="654"/>
      <c r="K65" s="655"/>
      <c r="L65" s="656"/>
    </row>
    <row r="66" spans="2:12" hidden="1">
      <c r="B66" s="653"/>
      <c r="C66" s="654"/>
      <c r="K66" s="655"/>
      <c r="L66" s="656"/>
    </row>
    <row r="67" spans="2:12" hidden="1">
      <c r="B67" s="653"/>
      <c r="C67" s="654"/>
      <c r="K67" s="655"/>
      <c r="L67" s="656"/>
    </row>
    <row r="68" spans="2:12" ht="15.75" customHeight="1">
      <c r="B68" s="725" t="s">
        <v>182</v>
      </c>
      <c r="C68" s="1772" t="s">
        <v>819</v>
      </c>
      <c r="D68" s="1772"/>
      <c r="E68" s="1772"/>
      <c r="F68" s="1772"/>
      <c r="G68" s="1772"/>
      <c r="H68" s="1772"/>
      <c r="I68" s="726"/>
      <c r="J68" s="726"/>
      <c r="K68" s="727" t="s">
        <v>2</v>
      </c>
      <c r="L68" s="728">
        <f>H104</f>
        <v>144.56</v>
      </c>
    </row>
    <row r="69" spans="2:12">
      <c r="B69" s="672"/>
      <c r="C69" s="671"/>
      <c r="K69" s="664"/>
      <c r="L69" s="676"/>
    </row>
    <row r="70" spans="2:12" ht="15.75">
      <c r="B70" s="672"/>
      <c r="C70" s="684"/>
      <c r="D70" s="1753" t="s">
        <v>820</v>
      </c>
      <c r="E70" s="1753"/>
      <c r="F70" s="1753"/>
      <c r="G70" s="1753"/>
      <c r="H70" s="1753"/>
      <c r="K70" s="664"/>
      <c r="L70" s="665"/>
    </row>
    <row r="71" spans="2:12" ht="11.25" customHeight="1">
      <c r="B71" s="672"/>
      <c r="C71" s="684"/>
      <c r="D71" s="1795"/>
      <c r="E71" s="1795"/>
      <c r="F71" s="1795"/>
      <c r="G71" s="1795"/>
      <c r="H71" s="1795"/>
      <c r="K71" s="664"/>
      <c r="L71" s="665"/>
    </row>
    <row r="72" spans="2:12" ht="15.75">
      <c r="B72" s="672"/>
      <c r="C72" s="673"/>
      <c r="D72" s="1763" t="s">
        <v>1614</v>
      </c>
      <c r="E72" s="1763"/>
      <c r="F72" s="1763"/>
      <c r="G72" s="1763"/>
      <c r="H72" s="1763"/>
      <c r="K72" s="664"/>
      <c r="L72" s="666"/>
    </row>
    <row r="73" spans="2:12" ht="15.75">
      <c r="B73" s="672"/>
      <c r="C73" s="673"/>
      <c r="D73" s="1766" t="s">
        <v>775</v>
      </c>
      <c r="E73" s="1766"/>
      <c r="F73" s="1766"/>
      <c r="G73" s="1766"/>
      <c r="H73" s="1766"/>
      <c r="K73" s="664"/>
      <c r="L73" s="666"/>
    </row>
    <row r="74" spans="2:12" ht="15.75">
      <c r="B74" s="672"/>
      <c r="C74" s="673"/>
      <c r="D74" s="1764" t="s">
        <v>821</v>
      </c>
      <c r="E74" s="1764"/>
      <c r="F74" s="1358" t="s">
        <v>822</v>
      </c>
      <c r="G74" s="1358" t="s">
        <v>761</v>
      </c>
      <c r="H74" s="1358" t="s">
        <v>823</v>
      </c>
      <c r="K74" s="664"/>
      <c r="L74" s="666"/>
    </row>
    <row r="75" spans="2:12" ht="15">
      <c r="B75" s="672"/>
      <c r="C75" s="673"/>
      <c r="D75" s="1765">
        <v>0.8</v>
      </c>
      <c r="E75" s="1765"/>
      <c r="F75" s="1360">
        <v>0.8</v>
      </c>
      <c r="G75" s="1361">
        <v>4</v>
      </c>
      <c r="H75" s="1359">
        <f>D75*F75*G75</f>
        <v>2.56</v>
      </c>
      <c r="K75" s="664"/>
      <c r="L75" s="666"/>
    </row>
    <row r="76" spans="2:12" ht="15.75">
      <c r="B76" s="672"/>
      <c r="C76" s="673"/>
      <c r="D76" s="1766" t="s">
        <v>824</v>
      </c>
      <c r="E76" s="1766"/>
      <c r="F76" s="1766"/>
      <c r="G76" s="1766"/>
      <c r="H76" s="1766"/>
      <c r="K76" s="664"/>
      <c r="L76" s="666"/>
    </row>
    <row r="77" spans="2:12" ht="15.75">
      <c r="B77" s="672"/>
      <c r="C77" s="673"/>
      <c r="D77" s="1764" t="s">
        <v>825</v>
      </c>
      <c r="E77" s="1764"/>
      <c r="F77" s="1358" t="s">
        <v>826</v>
      </c>
      <c r="G77" s="1358" t="s">
        <v>761</v>
      </c>
      <c r="H77" s="1358" t="s">
        <v>823</v>
      </c>
      <c r="K77" s="664"/>
      <c r="L77" s="666"/>
    </row>
    <row r="78" spans="2:12" ht="15">
      <c r="B78" s="672"/>
      <c r="C78" s="673"/>
      <c r="D78" s="1362" t="s">
        <v>1615</v>
      </c>
      <c r="E78" s="1363">
        <f>0.8+0.8+0.8+0.8</f>
        <v>3.2</v>
      </c>
      <c r="F78" s="1360">
        <v>0.4</v>
      </c>
      <c r="G78" s="1361">
        <v>4</v>
      </c>
      <c r="H78" s="1359">
        <f>E78*F78*G78</f>
        <v>5.12</v>
      </c>
      <c r="K78" s="664"/>
      <c r="L78" s="666"/>
    </row>
    <row r="79" spans="2:12" ht="15.75">
      <c r="B79" s="672"/>
      <c r="C79" s="673"/>
      <c r="D79" s="1760" t="s">
        <v>22</v>
      </c>
      <c r="E79" s="1761"/>
      <c r="F79" s="1761"/>
      <c r="G79" s="1762"/>
      <c r="H79" s="1364">
        <f>SUM(H75:H78)</f>
        <v>7.68</v>
      </c>
      <c r="K79" s="664"/>
      <c r="L79" s="666"/>
    </row>
    <row r="80" spans="2:12" ht="7.5" customHeight="1">
      <c r="B80" s="672"/>
      <c r="C80" s="673"/>
      <c r="D80" s="1763" t="s">
        <v>1616</v>
      </c>
      <c r="E80" s="1763"/>
      <c r="F80" s="1763"/>
      <c r="G80" s="1763"/>
      <c r="H80" s="1763"/>
      <c r="K80" s="664"/>
      <c r="L80" s="666"/>
    </row>
    <row r="81" spans="2:12" ht="15.75">
      <c r="B81" s="672"/>
      <c r="C81" s="673"/>
      <c r="D81" s="1766" t="s">
        <v>775</v>
      </c>
      <c r="E81" s="1766"/>
      <c r="F81" s="1766"/>
      <c r="G81" s="1766"/>
      <c r="H81" s="1766"/>
      <c r="K81" s="664"/>
      <c r="L81" s="666"/>
    </row>
    <row r="82" spans="2:12" ht="15.75">
      <c r="B82" s="672"/>
      <c r="C82" s="673"/>
      <c r="D82" s="1764" t="s">
        <v>821</v>
      </c>
      <c r="E82" s="1764"/>
      <c r="F82" s="1358" t="s">
        <v>822</v>
      </c>
      <c r="G82" s="1358" t="s">
        <v>761</v>
      </c>
      <c r="H82" s="1358" t="s">
        <v>823</v>
      </c>
      <c r="K82" s="664"/>
      <c r="L82" s="666"/>
    </row>
    <row r="83" spans="2:12" ht="15">
      <c r="B83" s="672"/>
      <c r="C83" s="673"/>
      <c r="D83" s="1765">
        <v>2</v>
      </c>
      <c r="E83" s="1765"/>
      <c r="F83" s="1360">
        <v>0.8</v>
      </c>
      <c r="G83" s="1361">
        <v>4</v>
      </c>
      <c r="H83" s="1359">
        <f>D83*F83*G83</f>
        <v>6.4</v>
      </c>
      <c r="K83" s="664"/>
      <c r="L83" s="666"/>
    </row>
    <row r="84" spans="2:12" ht="15.75">
      <c r="B84" s="672"/>
      <c r="C84" s="673"/>
      <c r="D84" s="1766" t="s">
        <v>824</v>
      </c>
      <c r="E84" s="1766"/>
      <c r="F84" s="1766"/>
      <c r="G84" s="1766"/>
      <c r="H84" s="1766"/>
      <c r="K84" s="664"/>
      <c r="L84" s="666"/>
    </row>
    <row r="85" spans="2:12" ht="15.75">
      <c r="B85" s="672"/>
      <c r="C85" s="673"/>
      <c r="D85" s="1764" t="s">
        <v>825</v>
      </c>
      <c r="E85" s="1764"/>
      <c r="F85" s="1358" t="s">
        <v>826</v>
      </c>
      <c r="G85" s="1358" t="s">
        <v>761</v>
      </c>
      <c r="H85" s="1358" t="s">
        <v>823</v>
      </c>
      <c r="K85" s="664"/>
      <c r="L85" s="666"/>
    </row>
    <row r="86" spans="2:12" ht="15">
      <c r="B86" s="672"/>
      <c r="C86" s="673"/>
      <c r="D86" s="1362" t="s">
        <v>1617</v>
      </c>
      <c r="E86" s="1363">
        <f>2+2+0.8+0.8</f>
        <v>5.6</v>
      </c>
      <c r="F86" s="1360">
        <v>0.85</v>
      </c>
      <c r="G86" s="1361">
        <v>4</v>
      </c>
      <c r="H86" s="1359">
        <f>E86*F86*G86</f>
        <v>19.04</v>
      </c>
      <c r="K86" s="664"/>
      <c r="L86" s="666"/>
    </row>
    <row r="87" spans="2:12" ht="15.75">
      <c r="B87" s="672"/>
      <c r="C87" s="673"/>
      <c r="D87" s="1760" t="s">
        <v>22</v>
      </c>
      <c r="E87" s="1761"/>
      <c r="F87" s="1761"/>
      <c r="G87" s="1762"/>
      <c r="H87" s="1364">
        <f>SUM(H83:H86)</f>
        <v>25.44</v>
      </c>
      <c r="K87" s="664"/>
      <c r="L87" s="666"/>
    </row>
    <row r="88" spans="2:12" ht="15.75">
      <c r="B88" s="672"/>
      <c r="C88" s="673"/>
      <c r="D88" s="1763" t="s">
        <v>1618</v>
      </c>
      <c r="E88" s="1763"/>
      <c r="F88" s="1763"/>
      <c r="G88" s="1763"/>
      <c r="H88" s="1763"/>
      <c r="K88" s="664"/>
      <c r="L88" s="666"/>
    </row>
    <row r="89" spans="2:12" ht="7.5" customHeight="1">
      <c r="B89" s="672"/>
      <c r="C89" s="673"/>
      <c r="D89" s="1766" t="s">
        <v>775</v>
      </c>
      <c r="E89" s="1766"/>
      <c r="F89" s="1766"/>
      <c r="G89" s="1766"/>
      <c r="H89" s="1766"/>
      <c r="K89" s="664"/>
      <c r="L89" s="666"/>
    </row>
    <row r="90" spans="2:12" ht="15.75">
      <c r="B90" s="672"/>
      <c r="C90" s="673"/>
      <c r="D90" s="1764" t="s">
        <v>821</v>
      </c>
      <c r="E90" s="1764"/>
      <c r="F90" s="1358" t="s">
        <v>822</v>
      </c>
      <c r="G90" s="1358" t="s">
        <v>761</v>
      </c>
      <c r="H90" s="1358" t="s">
        <v>823</v>
      </c>
      <c r="K90" s="664"/>
      <c r="L90" s="666"/>
    </row>
    <row r="91" spans="2:12" ht="15">
      <c r="B91" s="672"/>
      <c r="C91" s="673"/>
      <c r="D91" s="1765">
        <v>1.8</v>
      </c>
      <c r="E91" s="1765"/>
      <c r="F91" s="1360">
        <v>1.8</v>
      </c>
      <c r="G91" s="1361">
        <v>4</v>
      </c>
      <c r="H91" s="1359">
        <f>D91*F91*G91</f>
        <v>12.96</v>
      </c>
      <c r="K91" s="664"/>
      <c r="L91" s="666"/>
    </row>
    <row r="92" spans="2:12" ht="15.75">
      <c r="B92" s="672"/>
      <c r="C92" s="673"/>
      <c r="D92" s="1766" t="s">
        <v>824</v>
      </c>
      <c r="E92" s="1766"/>
      <c r="F92" s="1766"/>
      <c r="G92" s="1766"/>
      <c r="H92" s="1766"/>
      <c r="K92" s="664"/>
      <c r="L92" s="666"/>
    </row>
    <row r="93" spans="2:12" ht="15.75">
      <c r="B93" s="672"/>
      <c r="C93" s="673"/>
      <c r="D93" s="1764" t="s">
        <v>825</v>
      </c>
      <c r="E93" s="1764"/>
      <c r="F93" s="1358" t="s">
        <v>826</v>
      </c>
      <c r="G93" s="1358" t="s">
        <v>761</v>
      </c>
      <c r="H93" s="1358" t="s">
        <v>823</v>
      </c>
      <c r="K93" s="664"/>
      <c r="L93" s="666"/>
    </row>
    <row r="94" spans="2:12" ht="15">
      <c r="B94" s="672"/>
      <c r="C94" s="673"/>
      <c r="D94" s="1362" t="s">
        <v>1619</v>
      </c>
      <c r="E94" s="1363">
        <f>1.8+1.8+1.8+1.8</f>
        <v>7.2</v>
      </c>
      <c r="F94" s="1360">
        <v>1.3</v>
      </c>
      <c r="G94" s="1361">
        <v>4</v>
      </c>
      <c r="H94" s="1359">
        <f>E94*F94*G94</f>
        <v>37.44</v>
      </c>
      <c r="K94" s="664"/>
      <c r="L94" s="666"/>
    </row>
    <row r="95" spans="2:12" ht="15.75">
      <c r="B95" s="672"/>
      <c r="C95" s="673"/>
      <c r="D95" s="1760" t="s">
        <v>22</v>
      </c>
      <c r="E95" s="1761"/>
      <c r="F95" s="1761"/>
      <c r="G95" s="1762"/>
      <c r="H95" s="1364">
        <f>SUM(H91:H94)</f>
        <v>50.4</v>
      </c>
      <c r="K95" s="664"/>
      <c r="L95" s="666"/>
    </row>
    <row r="96" spans="2:12" ht="15.75">
      <c r="B96" s="672"/>
      <c r="C96" s="673"/>
      <c r="D96" s="1763" t="s">
        <v>1620</v>
      </c>
      <c r="E96" s="1763"/>
      <c r="F96" s="1763"/>
      <c r="G96" s="1763"/>
      <c r="H96" s="1763"/>
      <c r="K96" s="664"/>
      <c r="L96" s="666"/>
    </row>
    <row r="97" spans="2:15" ht="15.75">
      <c r="B97" s="672"/>
      <c r="C97" s="673"/>
      <c r="D97" s="1766" t="s">
        <v>775</v>
      </c>
      <c r="E97" s="1766"/>
      <c r="F97" s="1766"/>
      <c r="G97" s="1766"/>
      <c r="H97" s="1766"/>
      <c r="K97" s="664"/>
      <c r="L97" s="666"/>
    </row>
    <row r="98" spans="2:15" ht="15.75">
      <c r="B98" s="672"/>
      <c r="D98" s="1764" t="s">
        <v>821</v>
      </c>
      <c r="E98" s="1764"/>
      <c r="F98" s="1358" t="s">
        <v>822</v>
      </c>
      <c r="G98" s="1358" t="s">
        <v>761</v>
      </c>
      <c r="H98" s="1358" t="s">
        <v>823</v>
      </c>
      <c r="K98" s="664"/>
      <c r="L98" s="666"/>
    </row>
    <row r="99" spans="2:15" ht="15">
      <c r="B99" s="657"/>
      <c r="C99" s="667"/>
      <c r="D99" s="1765">
        <v>0.76</v>
      </c>
      <c r="E99" s="1765"/>
      <c r="F99" s="1360">
        <v>2.36</v>
      </c>
      <c r="G99" s="1361">
        <v>4</v>
      </c>
      <c r="H99" s="1359">
        <f>D99*F99*G99</f>
        <v>7.17</v>
      </c>
      <c r="K99" s="664"/>
      <c r="L99" s="666"/>
    </row>
    <row r="100" spans="2:15" ht="15.75">
      <c r="B100" s="657"/>
      <c r="C100" s="667"/>
      <c r="D100" s="1766" t="s">
        <v>824</v>
      </c>
      <c r="E100" s="1766"/>
      <c r="F100" s="1766"/>
      <c r="G100" s="1766"/>
      <c r="H100" s="1766"/>
      <c r="K100" s="664"/>
      <c r="L100" s="666"/>
    </row>
    <row r="101" spans="2:15" ht="15.75">
      <c r="B101" s="657"/>
      <c r="C101" s="667"/>
      <c r="D101" s="1764" t="s">
        <v>825</v>
      </c>
      <c r="E101" s="1764"/>
      <c r="F101" s="1358" t="s">
        <v>826</v>
      </c>
      <c r="G101" s="1358" t="s">
        <v>761</v>
      </c>
      <c r="H101" s="1358" t="s">
        <v>823</v>
      </c>
      <c r="K101" s="664"/>
      <c r="L101" s="666"/>
    </row>
    <row r="102" spans="2:15" ht="15">
      <c r="B102" s="657"/>
      <c r="C102" s="667"/>
      <c r="D102" s="1362" t="s">
        <v>1621</v>
      </c>
      <c r="E102" s="1363">
        <f>0.76+0.76+2.36+2.36</f>
        <v>6.24</v>
      </c>
      <c r="F102" s="1360">
        <v>1</v>
      </c>
      <c r="G102" s="1361">
        <v>4</v>
      </c>
      <c r="H102" s="1359">
        <f>E102*F102*G102</f>
        <v>24.96</v>
      </c>
      <c r="K102" s="664"/>
      <c r="L102" s="666"/>
    </row>
    <row r="103" spans="2:15" ht="15.75">
      <c r="B103" s="657"/>
      <c r="C103" s="667"/>
      <c r="D103" s="1760" t="s">
        <v>22</v>
      </c>
      <c r="E103" s="1761"/>
      <c r="F103" s="1761"/>
      <c r="G103" s="1762"/>
      <c r="H103" s="1364">
        <f>SUM(H99:H102)</f>
        <v>32.130000000000003</v>
      </c>
      <c r="K103" s="664"/>
      <c r="L103" s="666"/>
    </row>
    <row r="104" spans="2:15" ht="15.75">
      <c r="B104" s="657"/>
      <c r="C104" s="667"/>
      <c r="D104" s="1763" t="s">
        <v>827</v>
      </c>
      <c r="E104" s="1763"/>
      <c r="F104" s="1763"/>
      <c r="G104" s="1763"/>
      <c r="H104" s="1365">
        <f>(H79+H95+H87+H103)*(1+$N$3)</f>
        <v>144.56</v>
      </c>
      <c r="K104" s="664"/>
      <c r="L104" s="666"/>
    </row>
    <row r="105" spans="2:15">
      <c r="B105" s="657"/>
      <c r="C105" s="667"/>
      <c r="K105" s="664"/>
      <c r="L105" s="666"/>
    </row>
    <row r="106" spans="2:15" ht="36.75" customHeight="1">
      <c r="B106" s="725" t="s">
        <v>431</v>
      </c>
      <c r="C106" s="1772" t="s">
        <v>828</v>
      </c>
      <c r="D106" s="1772"/>
      <c r="E106" s="1772"/>
      <c r="F106" s="1772"/>
      <c r="G106" s="1772"/>
      <c r="H106" s="1772"/>
      <c r="I106" s="726"/>
      <c r="J106" s="726"/>
      <c r="K106" s="727" t="s">
        <v>776</v>
      </c>
      <c r="L106" s="728">
        <f>G111</f>
        <v>1800.9</v>
      </c>
    </row>
    <row r="107" spans="2:15">
      <c r="B107" s="672"/>
      <c r="C107" s="671"/>
      <c r="K107" s="662"/>
      <c r="L107" s="678"/>
    </row>
    <row r="108" spans="2:15" s="734" customFormat="1" ht="24.75" customHeight="1">
      <c r="B108" s="735"/>
      <c r="C108" s="736"/>
      <c r="D108" s="1773" t="s">
        <v>829</v>
      </c>
      <c r="E108" s="1774"/>
      <c r="F108" s="1774"/>
      <c r="G108" s="1774"/>
      <c r="H108" s="1775"/>
      <c r="K108" s="737"/>
      <c r="L108" s="738"/>
    </row>
    <row r="109" spans="2:15" s="734" customFormat="1" ht="24.75" customHeight="1">
      <c r="B109" s="735"/>
      <c r="C109" s="739"/>
      <c r="D109" s="1776" t="s">
        <v>830</v>
      </c>
      <c r="E109" s="1777"/>
      <c r="F109" s="1778"/>
      <c r="G109" s="1802">
        <f>1985.8+15.2</f>
        <v>2001</v>
      </c>
      <c r="H109" s="1803"/>
      <c r="K109" s="737"/>
      <c r="L109" s="738"/>
      <c r="N109" s="1804" t="s">
        <v>831</v>
      </c>
      <c r="O109" s="1804"/>
    </row>
    <row r="110" spans="2:15" s="734" customFormat="1" ht="24.75" customHeight="1">
      <c r="B110" s="735"/>
      <c r="D110" s="1805" t="s">
        <v>22</v>
      </c>
      <c r="E110" s="1806"/>
      <c r="F110" s="1807"/>
      <c r="G110" s="1808">
        <f>G109</f>
        <v>2001</v>
      </c>
      <c r="H110" s="1809"/>
      <c r="K110" s="737"/>
      <c r="L110" s="738"/>
      <c r="N110" s="1804"/>
      <c r="O110" s="1804"/>
    </row>
    <row r="111" spans="2:15" s="734" customFormat="1" ht="24.75" customHeight="1">
      <c r="B111" s="735"/>
      <c r="D111" s="1810" t="s">
        <v>832</v>
      </c>
      <c r="E111" s="1810"/>
      <c r="F111" s="1810"/>
      <c r="G111" s="1811">
        <f>G110-(G109*0.1)</f>
        <v>1800.9</v>
      </c>
      <c r="H111" s="1811"/>
      <c r="K111" s="737"/>
      <c r="L111" s="738"/>
      <c r="N111" s="740"/>
      <c r="O111" s="740"/>
    </row>
    <row r="112" spans="2:15">
      <c r="B112" s="657"/>
      <c r="C112" s="667"/>
      <c r="K112" s="664"/>
      <c r="L112" s="666"/>
    </row>
    <row r="113" spans="2:12">
      <c r="B113" s="657"/>
      <c r="C113" s="667"/>
      <c r="K113" s="664"/>
      <c r="L113" s="677"/>
    </row>
    <row r="114" spans="2:12" ht="15.75" customHeight="1">
      <c r="B114" s="725" t="s">
        <v>432</v>
      </c>
      <c r="C114" s="1772" t="s">
        <v>833</v>
      </c>
      <c r="D114" s="1772"/>
      <c r="E114" s="1772"/>
      <c r="F114" s="1772"/>
      <c r="G114" s="1772"/>
      <c r="H114" s="1772"/>
      <c r="I114" s="726"/>
      <c r="J114" s="726"/>
      <c r="K114" s="727" t="s">
        <v>0</v>
      </c>
      <c r="L114" s="728">
        <f>H122</f>
        <v>30.48</v>
      </c>
    </row>
    <row r="115" spans="2:12">
      <c r="B115" s="672"/>
      <c r="C115" s="671"/>
      <c r="K115" s="664"/>
      <c r="L115" s="676"/>
    </row>
    <row r="116" spans="2:12" ht="20.25" customHeight="1">
      <c r="B116" s="672"/>
      <c r="C116" s="671"/>
      <c r="D116" s="1767" t="s">
        <v>834</v>
      </c>
      <c r="E116" s="1767"/>
      <c r="F116" s="1767"/>
      <c r="G116" s="1767"/>
      <c r="H116" s="1767"/>
      <c r="K116" s="664"/>
      <c r="L116" s="676"/>
    </row>
    <row r="117" spans="2:12" ht="15">
      <c r="B117" s="672"/>
      <c r="C117" s="671"/>
      <c r="D117" s="741" t="s">
        <v>767</v>
      </c>
      <c r="E117" s="741" t="s">
        <v>307</v>
      </c>
      <c r="F117" s="741" t="s">
        <v>768</v>
      </c>
      <c r="G117" s="741" t="s">
        <v>761</v>
      </c>
      <c r="H117" s="741" t="s">
        <v>835</v>
      </c>
      <c r="K117" s="664"/>
      <c r="L117" s="676"/>
    </row>
    <row r="118" spans="2:12" ht="15">
      <c r="B118" s="672"/>
      <c r="C118" s="671"/>
      <c r="D118" s="1366">
        <v>0.8</v>
      </c>
      <c r="E118" s="1367">
        <v>0.8</v>
      </c>
      <c r="F118" s="1368">
        <v>0.4</v>
      </c>
      <c r="G118" s="1369">
        <v>4</v>
      </c>
      <c r="H118" s="742">
        <f>D118*E118*F118*G118</f>
        <v>1.02</v>
      </c>
      <c r="K118" s="664"/>
      <c r="L118" s="676"/>
    </row>
    <row r="119" spans="2:12" ht="15">
      <c r="B119" s="672"/>
      <c r="C119" s="671"/>
      <c r="D119" s="1370">
        <v>2</v>
      </c>
      <c r="E119" s="1371">
        <v>0.8</v>
      </c>
      <c r="F119" s="1372">
        <v>0.85</v>
      </c>
      <c r="G119" s="1373">
        <v>4</v>
      </c>
      <c r="H119" s="743">
        <f>D119*E119*F119*G119</f>
        <v>5.44</v>
      </c>
      <c r="K119" s="664"/>
      <c r="L119" s="676"/>
    </row>
    <row r="120" spans="2:12" ht="15">
      <c r="B120" s="672"/>
      <c r="C120" s="671"/>
      <c r="D120" s="1370">
        <v>2.36</v>
      </c>
      <c r="E120" s="1371">
        <v>0.76</v>
      </c>
      <c r="F120" s="1372">
        <v>1</v>
      </c>
      <c r="G120" s="1373">
        <v>4</v>
      </c>
      <c r="H120" s="743">
        <f>D120*E120*F120*G120</f>
        <v>7.17</v>
      </c>
      <c r="K120" s="664"/>
      <c r="L120" s="676"/>
    </row>
    <row r="121" spans="2:12" ht="15">
      <c r="B121" s="672"/>
      <c r="C121" s="671"/>
      <c r="D121" s="1374">
        <v>1.8</v>
      </c>
      <c r="E121" s="1375">
        <v>1.8</v>
      </c>
      <c r="F121" s="1376">
        <v>1.3</v>
      </c>
      <c r="G121" s="1377">
        <v>4</v>
      </c>
      <c r="H121" s="744">
        <f>D121*E121*F121*G121</f>
        <v>16.850000000000001</v>
      </c>
      <c r="K121" s="664"/>
      <c r="L121" s="676"/>
    </row>
    <row r="122" spans="2:12" ht="15.75">
      <c r="B122" s="672"/>
      <c r="C122" s="671"/>
      <c r="D122" s="1768" t="s">
        <v>836</v>
      </c>
      <c r="E122" s="1769"/>
      <c r="F122" s="1769"/>
      <c r="G122" s="1770"/>
      <c r="H122" s="745">
        <f>SUM(H118:H121)</f>
        <v>30.48</v>
      </c>
      <c r="K122" s="664"/>
      <c r="L122" s="676"/>
    </row>
    <row r="123" spans="2:12">
      <c r="B123" s="672"/>
      <c r="C123" s="671"/>
      <c r="K123" s="664"/>
      <c r="L123" s="676"/>
    </row>
    <row r="124" spans="2:12" ht="15.75">
      <c r="B124" s="721" t="s">
        <v>777</v>
      </c>
      <c r="C124" s="1771" t="s">
        <v>793</v>
      </c>
      <c r="D124" s="1771"/>
      <c r="E124" s="1771"/>
      <c r="F124" s="1771"/>
      <c r="G124" s="1771"/>
      <c r="H124" s="1771"/>
      <c r="I124" s="722"/>
      <c r="J124" s="722"/>
      <c r="K124" s="723"/>
      <c r="L124" s="724"/>
    </row>
    <row r="125" spans="2:12">
      <c r="B125" s="657"/>
      <c r="C125" s="667"/>
      <c r="K125" s="664"/>
      <c r="L125" s="666"/>
    </row>
    <row r="126" spans="2:12" ht="32.25" customHeight="1">
      <c r="B126" s="725" t="s">
        <v>778</v>
      </c>
      <c r="C126" s="1772" t="s">
        <v>828</v>
      </c>
      <c r="D126" s="1772"/>
      <c r="E126" s="1772"/>
      <c r="F126" s="1772"/>
      <c r="G126" s="1772"/>
      <c r="H126" s="1772"/>
      <c r="I126" s="726"/>
      <c r="J126" s="726"/>
      <c r="K126" s="727" t="s">
        <v>776</v>
      </c>
      <c r="L126" s="728">
        <f>G131</f>
        <v>183.64</v>
      </c>
    </row>
    <row r="127" spans="2:12">
      <c r="B127" s="672"/>
      <c r="C127" s="671"/>
      <c r="K127" s="662"/>
      <c r="L127" s="678"/>
    </row>
    <row r="128" spans="2:12" ht="20.25" customHeight="1">
      <c r="B128" s="672"/>
      <c r="C128" s="684"/>
      <c r="D128" s="1773" t="s">
        <v>837</v>
      </c>
      <c r="E128" s="1774"/>
      <c r="F128" s="1774"/>
      <c r="G128" s="1774"/>
      <c r="H128" s="1775"/>
      <c r="K128" s="664"/>
      <c r="L128" s="666"/>
    </row>
    <row r="129" spans="2:15" ht="20.25" customHeight="1">
      <c r="B129" s="672"/>
      <c r="C129" s="673"/>
      <c r="D129" s="1776" t="s">
        <v>838</v>
      </c>
      <c r="E129" s="1777"/>
      <c r="F129" s="1778"/>
      <c r="G129" s="1777">
        <v>202</v>
      </c>
      <c r="H129" s="1778"/>
      <c r="K129" s="664"/>
      <c r="L129" s="666"/>
    </row>
    <row r="130" spans="2:15" ht="20.25" customHeight="1">
      <c r="B130" s="672"/>
      <c r="D130" s="1822" t="s">
        <v>22</v>
      </c>
      <c r="E130" s="1823"/>
      <c r="F130" s="1824"/>
      <c r="G130" s="1825">
        <f>G129</f>
        <v>202</v>
      </c>
      <c r="H130" s="1826"/>
      <c r="K130" s="664"/>
      <c r="L130" s="666"/>
    </row>
    <row r="131" spans="2:15" s="734" customFormat="1" ht="24.75" customHeight="1">
      <c r="B131" s="735"/>
      <c r="D131" s="1810" t="s">
        <v>832</v>
      </c>
      <c r="E131" s="1810"/>
      <c r="F131" s="1810"/>
      <c r="G131" s="1827">
        <f>G130/1.1</f>
        <v>183.64</v>
      </c>
      <c r="H131" s="1827"/>
      <c r="K131" s="737"/>
      <c r="L131" s="738"/>
      <c r="N131" s="740"/>
      <c r="O131" s="740"/>
    </row>
    <row r="132" spans="2:15" ht="15.75">
      <c r="B132" s="725"/>
      <c r="C132" s="726"/>
      <c r="D132" s="726"/>
      <c r="E132" s="726"/>
      <c r="F132" s="726"/>
      <c r="G132" s="726"/>
      <c r="H132" s="726"/>
      <c r="I132" s="726"/>
      <c r="J132" s="726"/>
      <c r="K132" s="746"/>
      <c r="L132" s="747"/>
    </row>
    <row r="133" spans="2:15" ht="15.75">
      <c r="B133" s="721" t="s">
        <v>779</v>
      </c>
      <c r="C133" s="1771" t="s">
        <v>839</v>
      </c>
      <c r="D133" s="1771"/>
      <c r="E133" s="1771"/>
      <c r="F133" s="1771"/>
      <c r="G133" s="1771"/>
      <c r="H133" s="1771"/>
      <c r="I133" s="722"/>
      <c r="J133" s="722"/>
      <c r="K133" s="723"/>
      <c r="L133" s="724"/>
    </row>
    <row r="134" spans="2:15" ht="15" hidden="1">
      <c r="B134" s="748"/>
      <c r="K134" s="655"/>
      <c r="L134" s="656"/>
    </row>
    <row r="135" spans="2:15" ht="15" hidden="1">
      <c r="B135" s="748"/>
      <c r="K135" s="655"/>
      <c r="L135" s="656"/>
    </row>
    <row r="136" spans="2:15" ht="15" hidden="1">
      <c r="B136" s="748"/>
      <c r="K136" s="655"/>
      <c r="L136" s="656"/>
    </row>
    <row r="137" spans="2:15" ht="15" hidden="1">
      <c r="B137" s="748"/>
      <c r="K137" s="655"/>
      <c r="L137" s="656"/>
    </row>
    <row r="138" spans="2:15" ht="15" hidden="1">
      <c r="B138" s="748"/>
      <c r="K138" s="655"/>
      <c r="L138" s="656"/>
    </row>
    <row r="139" spans="2:15" ht="15" hidden="1">
      <c r="B139" s="748"/>
      <c r="K139" s="655"/>
      <c r="L139" s="656"/>
    </row>
    <row r="140" spans="2:15" ht="15" hidden="1">
      <c r="B140" s="748"/>
      <c r="K140" s="655"/>
      <c r="L140" s="656"/>
    </row>
    <row r="141" spans="2:15" ht="15" hidden="1">
      <c r="B141" s="748"/>
      <c r="K141" s="655"/>
      <c r="L141" s="656"/>
    </row>
    <row r="142" spans="2:15" ht="15" hidden="1">
      <c r="B142" s="748"/>
      <c r="K142" s="655"/>
      <c r="L142" s="656"/>
    </row>
    <row r="143" spans="2:15" ht="15" hidden="1">
      <c r="B143" s="748"/>
      <c r="K143" s="655"/>
      <c r="L143" s="656"/>
    </row>
    <row r="144" spans="2:15" ht="15" hidden="1">
      <c r="B144" s="748"/>
      <c r="K144" s="655"/>
      <c r="L144" s="656"/>
    </row>
    <row r="145" spans="2:12" ht="15" hidden="1">
      <c r="B145" s="748"/>
      <c r="K145" s="655"/>
      <c r="L145" s="656"/>
    </row>
    <row r="146" spans="2:12" ht="15" hidden="1">
      <c r="B146" s="748"/>
      <c r="K146" s="655"/>
      <c r="L146" s="656"/>
    </row>
    <row r="147" spans="2:12" ht="15" hidden="1">
      <c r="B147" s="748"/>
      <c r="K147" s="655"/>
      <c r="L147" s="656"/>
    </row>
    <row r="148" spans="2:12" ht="15" hidden="1">
      <c r="B148" s="748"/>
      <c r="K148" s="655"/>
      <c r="L148" s="656"/>
    </row>
    <row r="149" spans="2:12" ht="15" hidden="1">
      <c r="B149" s="748"/>
      <c r="K149" s="655"/>
      <c r="L149" s="656"/>
    </row>
    <row r="150" spans="2:12" ht="15" hidden="1">
      <c r="B150" s="748"/>
      <c r="K150" s="655"/>
      <c r="L150" s="656"/>
    </row>
    <row r="151" spans="2:12" ht="15" hidden="1">
      <c r="B151" s="748"/>
      <c r="K151" s="655"/>
      <c r="L151" s="656"/>
    </row>
    <row r="152" spans="2:12" ht="15" hidden="1">
      <c r="B152" s="748"/>
      <c r="K152" s="655"/>
      <c r="L152" s="656"/>
    </row>
    <row r="153" spans="2:12" ht="15" hidden="1">
      <c r="B153" s="748"/>
      <c r="K153" s="655"/>
      <c r="L153" s="656"/>
    </row>
    <row r="154" spans="2:12" ht="15" hidden="1">
      <c r="B154" s="748"/>
      <c r="K154" s="655"/>
      <c r="L154" s="656"/>
    </row>
    <row r="155" spans="2:12" ht="15" hidden="1">
      <c r="B155" s="748"/>
      <c r="K155" s="655"/>
      <c r="L155" s="656"/>
    </row>
    <row r="156" spans="2:12" ht="15.75" customHeight="1">
      <c r="B156" s="725" t="s">
        <v>780</v>
      </c>
      <c r="C156" s="1772" t="s">
        <v>819</v>
      </c>
      <c r="D156" s="1772"/>
      <c r="E156" s="1772"/>
      <c r="F156" s="1772"/>
      <c r="G156" s="1772"/>
      <c r="H156" s="1772"/>
      <c r="I156" s="726"/>
      <c r="J156" s="726"/>
      <c r="K156" s="727" t="s">
        <v>2</v>
      </c>
      <c r="L156" s="728">
        <f>H173</f>
        <v>624.88</v>
      </c>
    </row>
    <row r="157" spans="2:12" ht="16.5" thickBot="1">
      <c r="B157" s="749"/>
      <c r="K157" s="750"/>
      <c r="L157" s="751"/>
    </row>
    <row r="158" spans="2:12" ht="16.5" thickBot="1">
      <c r="B158" s="672"/>
      <c r="C158" s="684"/>
      <c r="D158" s="1812" t="s">
        <v>840</v>
      </c>
      <c r="E158" s="1813"/>
      <c r="F158" s="1813"/>
      <c r="G158" s="1813"/>
      <c r="H158" s="1814"/>
      <c r="K158" s="664"/>
      <c r="L158" s="665"/>
    </row>
    <row r="159" spans="2:12" ht="16.5" thickBot="1">
      <c r="B159" s="672"/>
      <c r="C159" s="684"/>
      <c r="D159" s="1815"/>
      <c r="E159" s="1815"/>
      <c r="F159" s="1815"/>
      <c r="G159" s="1815"/>
      <c r="H159" s="1815"/>
      <c r="K159" s="664"/>
      <c r="L159" s="665"/>
    </row>
    <row r="160" spans="2:12" ht="16.5" thickBot="1">
      <c r="B160" s="672"/>
      <c r="C160" s="673"/>
      <c r="D160" s="1816" t="s">
        <v>841</v>
      </c>
      <c r="E160" s="1817"/>
      <c r="F160" s="1817"/>
      <c r="G160" s="1817"/>
      <c r="H160" s="1818"/>
      <c r="K160" s="664"/>
      <c r="L160" s="666"/>
    </row>
    <row r="161" spans="2:12" ht="15">
      <c r="B161" s="672"/>
      <c r="C161" s="673"/>
      <c r="D161" s="1779" t="s">
        <v>842</v>
      </c>
      <c r="E161" s="1780"/>
      <c r="F161" s="741" t="s">
        <v>767</v>
      </c>
      <c r="G161" s="741" t="s">
        <v>761</v>
      </c>
      <c r="H161" s="753" t="s">
        <v>22</v>
      </c>
      <c r="K161" s="664"/>
      <c r="L161" s="666"/>
    </row>
    <row r="162" spans="2:12" ht="15">
      <c r="B162" s="672"/>
      <c r="C162" s="673"/>
      <c r="D162" s="1378" t="s">
        <v>1622</v>
      </c>
      <c r="E162" s="1363">
        <f>0.65+0.2+0.65</f>
        <v>1.5</v>
      </c>
      <c r="F162" s="1360">
        <v>25</v>
      </c>
      <c r="G162" s="1361">
        <v>2</v>
      </c>
      <c r="H162" s="754">
        <f>E162*F162*G162</f>
        <v>75</v>
      </c>
      <c r="K162" s="664"/>
      <c r="L162" s="666"/>
    </row>
    <row r="163" spans="2:12" ht="15">
      <c r="B163" s="672"/>
      <c r="C163" s="673"/>
      <c r="D163" s="1378" t="s">
        <v>1623</v>
      </c>
      <c r="E163" s="1363">
        <f>1+0.3+1</f>
        <v>2.2999999999999998</v>
      </c>
      <c r="F163" s="1360">
        <v>25</v>
      </c>
      <c r="G163" s="1361">
        <v>2</v>
      </c>
      <c r="H163" s="754">
        <f>E163*F163*G163</f>
        <v>115</v>
      </c>
      <c r="K163" s="664"/>
      <c r="L163" s="666"/>
    </row>
    <row r="164" spans="2:12" ht="15">
      <c r="B164" s="672"/>
      <c r="C164" s="673"/>
      <c r="D164" s="1378" t="s">
        <v>1624</v>
      </c>
      <c r="E164" s="1363">
        <f>1.2+0.3+1.2</f>
        <v>2.7</v>
      </c>
      <c r="F164" s="1360">
        <v>25</v>
      </c>
      <c r="G164" s="1361">
        <v>2</v>
      </c>
      <c r="H164" s="755">
        <f>E164*F164*G164</f>
        <v>135</v>
      </c>
      <c r="K164" s="664"/>
      <c r="L164" s="666"/>
    </row>
    <row r="165" spans="2:12" ht="18.75" thickBot="1">
      <c r="B165" s="672"/>
      <c r="C165" s="673"/>
      <c r="D165" s="756"/>
      <c r="E165" s="757"/>
      <c r="F165" s="731"/>
      <c r="G165" s="732" t="s">
        <v>22</v>
      </c>
      <c r="H165" s="733">
        <f>SUM(H162:H164)</f>
        <v>325</v>
      </c>
      <c r="K165" s="664"/>
      <c r="L165" s="666"/>
    </row>
    <row r="166" spans="2:12" ht="15.75" thickBot="1">
      <c r="B166" s="672"/>
      <c r="C166" s="673"/>
      <c r="D166" s="1819"/>
      <c r="E166" s="1820"/>
      <c r="F166" s="1820"/>
      <c r="G166" s="1820"/>
      <c r="H166" s="1821"/>
      <c r="K166" s="664"/>
      <c r="L166" s="666"/>
    </row>
    <row r="167" spans="2:12" ht="16.5" thickBot="1">
      <c r="B167" s="672"/>
      <c r="C167" s="673"/>
      <c r="D167" s="1816" t="s">
        <v>843</v>
      </c>
      <c r="E167" s="1817"/>
      <c r="F167" s="1817"/>
      <c r="G167" s="1817"/>
      <c r="H167" s="1818"/>
      <c r="K167" s="664"/>
      <c r="L167" s="666"/>
    </row>
    <row r="168" spans="2:12" ht="15">
      <c r="B168" s="672"/>
      <c r="C168" s="673"/>
      <c r="D168" s="1779" t="s">
        <v>842</v>
      </c>
      <c r="E168" s="1780"/>
      <c r="F168" s="741" t="s">
        <v>767</v>
      </c>
      <c r="G168" s="741" t="s">
        <v>761</v>
      </c>
      <c r="H168" s="753" t="s">
        <v>22</v>
      </c>
      <c r="K168" s="664"/>
      <c r="L168" s="666"/>
    </row>
    <row r="169" spans="2:12" ht="15">
      <c r="B169" s="672"/>
      <c r="C169" s="673"/>
      <c r="D169" s="1378" t="s">
        <v>1625</v>
      </c>
      <c r="E169" s="1363">
        <f>0.8+0.3+0.8</f>
        <v>1.9</v>
      </c>
      <c r="F169" s="1360">
        <v>10.6</v>
      </c>
      <c r="G169" s="1361">
        <v>2</v>
      </c>
      <c r="H169" s="754">
        <f>E169*F169*G169</f>
        <v>40.28</v>
      </c>
      <c r="K169" s="664"/>
      <c r="L169" s="666"/>
    </row>
    <row r="170" spans="2:12" ht="15">
      <c r="B170" s="672"/>
      <c r="C170" s="673"/>
      <c r="D170" s="1378" t="s">
        <v>1623</v>
      </c>
      <c r="E170" s="1363">
        <f>1+0.3+1</f>
        <v>2.2999999999999998</v>
      </c>
      <c r="F170" s="1360">
        <v>10.6</v>
      </c>
      <c r="G170" s="1361">
        <v>2</v>
      </c>
      <c r="H170" s="754">
        <f t="shared" ref="H170:H171" si="0">E170*F170*G170</f>
        <v>48.76</v>
      </c>
      <c r="K170" s="664"/>
      <c r="L170" s="666"/>
    </row>
    <row r="171" spans="2:12" ht="15">
      <c r="B171" s="672"/>
      <c r="C171" s="673"/>
      <c r="D171" s="1378" t="s">
        <v>1624</v>
      </c>
      <c r="E171" s="1363">
        <f>1.2+0.3+1.2</f>
        <v>2.7</v>
      </c>
      <c r="F171" s="1360">
        <v>10.6</v>
      </c>
      <c r="G171" s="1361">
        <v>3</v>
      </c>
      <c r="H171" s="754">
        <f t="shared" si="0"/>
        <v>85.86</v>
      </c>
      <c r="K171" s="664"/>
      <c r="L171" s="666"/>
    </row>
    <row r="172" spans="2:12" ht="18.75" thickBot="1">
      <c r="B172" s="672"/>
      <c r="C172" s="673"/>
      <c r="D172" s="756"/>
      <c r="E172" s="757"/>
      <c r="F172" s="731"/>
      <c r="G172" s="732" t="s">
        <v>22</v>
      </c>
      <c r="H172" s="733">
        <f>SUM(H169:H171)</f>
        <v>174.9</v>
      </c>
      <c r="K172" s="664"/>
      <c r="L172" s="666"/>
    </row>
    <row r="173" spans="2:12" ht="18.75" thickBot="1">
      <c r="B173" s="672"/>
      <c r="D173" s="1816" t="s">
        <v>827</v>
      </c>
      <c r="E173" s="1817"/>
      <c r="F173" s="1817"/>
      <c r="G173" s="1817"/>
      <c r="H173" s="758">
        <f>(H165+H172)*(1+$N$3)</f>
        <v>624.88</v>
      </c>
      <c r="K173" s="664"/>
      <c r="L173" s="666"/>
    </row>
    <row r="174" spans="2:12">
      <c r="B174" s="759"/>
      <c r="K174" s="680"/>
      <c r="L174" s="681"/>
    </row>
    <row r="175" spans="2:12" ht="32.25" customHeight="1">
      <c r="B175" s="725" t="s">
        <v>781</v>
      </c>
      <c r="C175" s="1772" t="s">
        <v>844</v>
      </c>
      <c r="D175" s="1772"/>
      <c r="E175" s="1772"/>
      <c r="F175" s="1772"/>
      <c r="G175" s="1772"/>
      <c r="H175" s="1772"/>
      <c r="I175" s="726"/>
      <c r="J175" s="726"/>
      <c r="K175" s="727" t="s">
        <v>791</v>
      </c>
      <c r="L175" s="728">
        <f>G181</f>
        <v>4624.6400000000003</v>
      </c>
    </row>
    <row r="176" spans="2:12">
      <c r="B176" s="749"/>
      <c r="C176" s="760"/>
      <c r="K176" s="658"/>
      <c r="L176" s="659"/>
    </row>
    <row r="177" spans="2:15" ht="24" customHeight="1">
      <c r="B177" s="672"/>
      <c r="C177" s="684"/>
      <c r="D177" s="1773" t="s">
        <v>829</v>
      </c>
      <c r="E177" s="1774"/>
      <c r="F177" s="1774"/>
      <c r="G177" s="1774"/>
      <c r="H177" s="1775"/>
      <c r="K177" s="664"/>
      <c r="L177" s="666"/>
    </row>
    <row r="178" spans="2:15" ht="15">
      <c r="B178" s="672"/>
      <c r="C178" s="673"/>
      <c r="D178" s="1754" t="s">
        <v>1626</v>
      </c>
      <c r="E178" s="1754"/>
      <c r="F178" s="1754"/>
      <c r="G178" s="1755">
        <f>349.6+62.4</f>
        <v>412</v>
      </c>
      <c r="H178" s="1755"/>
      <c r="K178" s="664"/>
      <c r="L178" s="666"/>
    </row>
    <row r="179" spans="2:15" ht="15">
      <c r="B179" s="672"/>
      <c r="C179" s="673"/>
      <c r="D179" s="1754" t="s">
        <v>845</v>
      </c>
      <c r="E179" s="1754"/>
      <c r="F179" s="1754"/>
      <c r="G179" s="1755">
        <f>3284.1+108.1+1282.9</f>
        <v>4675.1000000000004</v>
      </c>
      <c r="H179" s="1755"/>
      <c r="K179" s="664"/>
      <c r="L179" s="666"/>
    </row>
    <row r="180" spans="2:15" ht="18">
      <c r="B180" s="672"/>
      <c r="D180" s="1822" t="s">
        <v>22</v>
      </c>
      <c r="E180" s="1823"/>
      <c r="F180" s="1824"/>
      <c r="G180" s="1828">
        <f>SUM(G178:H179)</f>
        <v>5087.1000000000004</v>
      </c>
      <c r="H180" s="1829"/>
      <c r="K180" s="664"/>
      <c r="L180" s="666"/>
    </row>
    <row r="181" spans="2:15" s="734" customFormat="1" ht="24.75" customHeight="1">
      <c r="B181" s="735"/>
      <c r="D181" s="1810" t="s">
        <v>832</v>
      </c>
      <c r="E181" s="1810"/>
      <c r="F181" s="1810"/>
      <c r="G181" s="1811">
        <f>G180/1.1</f>
        <v>4624.6400000000003</v>
      </c>
      <c r="H181" s="1811"/>
      <c r="K181" s="737"/>
      <c r="L181" s="738"/>
      <c r="N181" s="740"/>
      <c r="O181" s="740"/>
    </row>
    <row r="182" spans="2:15">
      <c r="B182" s="672"/>
      <c r="C182" s="671"/>
      <c r="K182" s="664"/>
      <c r="L182" s="676"/>
    </row>
    <row r="183" spans="2:15" ht="15.75" customHeight="1">
      <c r="B183" s="725" t="s">
        <v>782</v>
      </c>
      <c r="C183" s="1772" t="s">
        <v>833</v>
      </c>
      <c r="D183" s="1772"/>
      <c r="E183" s="1772"/>
      <c r="F183" s="1772"/>
      <c r="G183" s="1772"/>
      <c r="H183" s="1772"/>
      <c r="I183" s="726"/>
      <c r="J183" s="726"/>
      <c r="K183" s="727" t="s">
        <v>0</v>
      </c>
      <c r="L183" s="728">
        <f>H200</f>
        <v>62.4</v>
      </c>
    </row>
    <row r="184" spans="2:15" ht="16.5" thickBot="1">
      <c r="B184" s="749"/>
      <c r="K184" s="750"/>
      <c r="L184" s="761"/>
    </row>
    <row r="185" spans="2:15" ht="16.5" thickBot="1">
      <c r="B185" s="672"/>
      <c r="C185" s="684"/>
      <c r="D185" s="1812" t="s">
        <v>846</v>
      </c>
      <c r="E185" s="1813"/>
      <c r="F185" s="1813"/>
      <c r="G185" s="1813"/>
      <c r="H185" s="1814"/>
      <c r="K185" s="664"/>
      <c r="L185" s="665"/>
    </row>
    <row r="186" spans="2:15" ht="16.5" thickBot="1">
      <c r="B186" s="672"/>
      <c r="C186" s="684"/>
      <c r="D186" s="1815"/>
      <c r="E186" s="1815"/>
      <c r="F186" s="1815"/>
      <c r="G186" s="1815"/>
      <c r="H186" s="1815"/>
      <c r="K186" s="664"/>
      <c r="L186" s="665"/>
    </row>
    <row r="187" spans="2:15" ht="16.5" thickBot="1">
      <c r="B187" s="672"/>
      <c r="C187" s="673"/>
      <c r="D187" s="1839" t="s">
        <v>841</v>
      </c>
      <c r="E187" s="1840"/>
      <c r="F187" s="1840"/>
      <c r="G187" s="1840"/>
      <c r="H187" s="1841"/>
      <c r="K187" s="664"/>
      <c r="L187" s="666"/>
    </row>
    <row r="188" spans="2:15" ht="15">
      <c r="B188" s="672"/>
      <c r="C188" s="673"/>
      <c r="D188" s="752" t="s">
        <v>767</v>
      </c>
      <c r="E188" s="741" t="s">
        <v>307</v>
      </c>
      <c r="F188" s="741" t="s">
        <v>768</v>
      </c>
      <c r="G188" s="741" t="s">
        <v>761</v>
      </c>
      <c r="H188" s="753" t="s">
        <v>22</v>
      </c>
      <c r="K188" s="664"/>
      <c r="L188" s="666"/>
    </row>
    <row r="189" spans="2:15" ht="15">
      <c r="B189" s="672"/>
      <c r="C189" s="673"/>
      <c r="D189" s="1359">
        <v>25</v>
      </c>
      <c r="E189" s="1360">
        <v>0.2</v>
      </c>
      <c r="F189" s="1360">
        <v>0.65</v>
      </c>
      <c r="G189" s="1361">
        <v>2</v>
      </c>
      <c r="H189" s="754">
        <f>D189*E189*F189*G189</f>
        <v>6.5</v>
      </c>
      <c r="K189" s="664"/>
      <c r="L189" s="666"/>
    </row>
    <row r="190" spans="2:15" ht="15">
      <c r="B190" s="672"/>
      <c r="C190" s="673"/>
      <c r="D190" s="1359">
        <v>25</v>
      </c>
      <c r="E190" s="1360">
        <v>0.3</v>
      </c>
      <c r="F190" s="1360">
        <v>1</v>
      </c>
      <c r="G190" s="1361">
        <v>2</v>
      </c>
      <c r="H190" s="755">
        <f>D190*E190*F190*G190</f>
        <v>15</v>
      </c>
      <c r="K190" s="664"/>
      <c r="L190" s="666"/>
    </row>
    <row r="191" spans="2:15" ht="15">
      <c r="B191" s="672"/>
      <c r="C191" s="673"/>
      <c r="D191" s="1359">
        <v>25</v>
      </c>
      <c r="E191" s="1360">
        <v>0.3</v>
      </c>
      <c r="F191" s="1360">
        <v>1.2</v>
      </c>
      <c r="G191" s="1361">
        <v>2</v>
      </c>
      <c r="H191" s="755">
        <f>D191*E191*F191*G191</f>
        <v>18</v>
      </c>
      <c r="K191" s="664"/>
      <c r="L191" s="666"/>
    </row>
    <row r="192" spans="2:15" ht="18.75" thickBot="1">
      <c r="B192" s="672"/>
      <c r="C192" s="673"/>
      <c r="D192" s="756"/>
      <c r="E192" s="757"/>
      <c r="F192" s="731"/>
      <c r="G192" s="732" t="s">
        <v>22</v>
      </c>
      <c r="H192" s="733">
        <f>SUM(H188:H191)</f>
        <v>39.5</v>
      </c>
      <c r="K192" s="664"/>
      <c r="L192" s="666"/>
    </row>
    <row r="193" spans="2:12" ht="15.75" thickBot="1">
      <c r="B193" s="672"/>
      <c r="C193" s="673"/>
      <c r="D193" s="1819"/>
      <c r="E193" s="1820"/>
      <c r="F193" s="1820"/>
      <c r="G193" s="1820"/>
      <c r="H193" s="1821"/>
      <c r="K193" s="664"/>
      <c r="L193" s="666"/>
    </row>
    <row r="194" spans="2:12" ht="16.5" thickBot="1">
      <c r="B194" s="672"/>
      <c r="C194" s="673"/>
      <c r="D194" s="1839" t="s">
        <v>843</v>
      </c>
      <c r="E194" s="1840"/>
      <c r="F194" s="1840"/>
      <c r="G194" s="1840"/>
      <c r="H194" s="1841"/>
      <c r="K194" s="664"/>
      <c r="L194" s="666"/>
    </row>
    <row r="195" spans="2:12" ht="15">
      <c r="B195" s="672"/>
      <c r="C195" s="673"/>
      <c r="D195" s="752" t="s">
        <v>767</v>
      </c>
      <c r="E195" s="741" t="s">
        <v>307</v>
      </c>
      <c r="F195" s="741" t="s">
        <v>768</v>
      </c>
      <c r="G195" s="741" t="s">
        <v>761</v>
      </c>
      <c r="H195" s="753" t="s">
        <v>22</v>
      </c>
      <c r="K195" s="664"/>
      <c r="L195" s="666"/>
    </row>
    <row r="196" spans="2:12" ht="15">
      <c r="B196" s="672"/>
      <c r="C196" s="673"/>
      <c r="D196" s="1359">
        <v>10.6</v>
      </c>
      <c r="E196" s="1360">
        <v>0.3</v>
      </c>
      <c r="F196" s="1359">
        <v>0.8</v>
      </c>
      <c r="G196" s="1361">
        <v>2</v>
      </c>
      <c r="H196" s="754">
        <f>D196*E196*F196*G196</f>
        <v>5.09</v>
      </c>
      <c r="K196" s="664"/>
      <c r="L196" s="666"/>
    </row>
    <row r="197" spans="2:12" ht="15">
      <c r="B197" s="672"/>
      <c r="C197" s="673"/>
      <c r="D197" s="1359">
        <v>10.6</v>
      </c>
      <c r="E197" s="1360">
        <v>0.3</v>
      </c>
      <c r="F197" s="1359">
        <v>1</v>
      </c>
      <c r="G197" s="1361">
        <v>2</v>
      </c>
      <c r="H197" s="755">
        <f>D197*E197*F197*G197</f>
        <v>6.36</v>
      </c>
      <c r="K197" s="664"/>
      <c r="L197" s="666"/>
    </row>
    <row r="198" spans="2:12" ht="15">
      <c r="B198" s="672"/>
      <c r="C198" s="673"/>
      <c r="D198" s="1359">
        <v>10.6</v>
      </c>
      <c r="E198" s="1360">
        <v>0.3</v>
      </c>
      <c r="F198" s="1359">
        <v>1.2</v>
      </c>
      <c r="G198" s="1361">
        <v>3</v>
      </c>
      <c r="H198" s="755">
        <f>D198*E198*F198*G198</f>
        <v>11.45</v>
      </c>
      <c r="K198" s="664"/>
      <c r="L198" s="666"/>
    </row>
    <row r="199" spans="2:12" ht="18.75" thickBot="1">
      <c r="B199" s="672"/>
      <c r="C199" s="673"/>
      <c r="D199" s="756"/>
      <c r="E199" s="757"/>
      <c r="F199" s="731"/>
      <c r="G199" s="732" t="s">
        <v>22</v>
      </c>
      <c r="H199" s="733">
        <f>SUM(H196:H198)</f>
        <v>22.9</v>
      </c>
      <c r="K199" s="664"/>
      <c r="L199" s="666"/>
    </row>
    <row r="200" spans="2:12" ht="18.75" thickBot="1">
      <c r="B200" s="672"/>
      <c r="D200" s="1816" t="s">
        <v>827</v>
      </c>
      <c r="E200" s="1817"/>
      <c r="F200" s="1817"/>
      <c r="G200" s="1817"/>
      <c r="H200" s="758">
        <f>H192+H199</f>
        <v>62.4</v>
      </c>
      <c r="K200" s="664"/>
      <c r="L200" s="666"/>
    </row>
    <row r="201" spans="2:12">
      <c r="B201" s="653"/>
      <c r="C201" s="685"/>
      <c r="K201" s="655"/>
      <c r="L201" s="656"/>
    </row>
    <row r="202" spans="2:12" ht="15.75">
      <c r="B202" s="721" t="s">
        <v>847</v>
      </c>
      <c r="C202" s="1771" t="s">
        <v>848</v>
      </c>
      <c r="D202" s="1771"/>
      <c r="E202" s="1771"/>
      <c r="F202" s="1771"/>
      <c r="G202" s="1771"/>
      <c r="H202" s="1771"/>
      <c r="I202" s="722"/>
      <c r="J202" s="722"/>
      <c r="K202" s="723"/>
      <c r="L202" s="724"/>
    </row>
    <row r="203" spans="2:12">
      <c r="B203" s="762"/>
      <c r="C203" s="674"/>
      <c r="K203" s="668"/>
      <c r="L203" s="763"/>
    </row>
    <row r="204" spans="2:12" ht="15.75" customHeight="1" thickBot="1">
      <c r="B204" s="725" t="s">
        <v>849</v>
      </c>
      <c r="C204" s="1772" t="s">
        <v>850</v>
      </c>
      <c r="D204" s="1772"/>
      <c r="E204" s="1772"/>
      <c r="F204" s="1772"/>
      <c r="G204" s="1772"/>
      <c r="H204" s="1772"/>
      <c r="I204" s="726"/>
      <c r="J204" s="726"/>
      <c r="K204" s="727" t="s">
        <v>0</v>
      </c>
      <c r="L204" s="728">
        <f>G227</f>
        <v>550</v>
      </c>
    </row>
    <row r="205" spans="2:12" ht="15.75" hidden="1">
      <c r="B205" s="672"/>
      <c r="K205" s="764"/>
      <c r="L205" s="728"/>
    </row>
    <row r="206" spans="2:12" ht="15.75" hidden="1">
      <c r="B206" s="672"/>
      <c r="K206" s="764"/>
      <c r="L206" s="728"/>
    </row>
    <row r="207" spans="2:12" ht="15.75" hidden="1">
      <c r="B207" s="672"/>
      <c r="K207" s="764"/>
      <c r="L207" s="728"/>
    </row>
    <row r="208" spans="2:12" ht="15.75" hidden="1">
      <c r="B208" s="672"/>
      <c r="K208" s="764"/>
      <c r="L208" s="728"/>
    </row>
    <row r="209" spans="2:12" ht="15.75" hidden="1">
      <c r="B209" s="672"/>
      <c r="K209" s="764"/>
      <c r="L209" s="728"/>
    </row>
    <row r="210" spans="2:12" ht="15.75" hidden="1">
      <c r="B210" s="672"/>
      <c r="K210" s="764"/>
      <c r="L210" s="728"/>
    </row>
    <row r="211" spans="2:12" ht="15.75" hidden="1">
      <c r="B211" s="672"/>
      <c r="K211" s="764"/>
      <c r="L211" s="728"/>
    </row>
    <row r="212" spans="2:12" ht="15.75" hidden="1">
      <c r="B212" s="672"/>
      <c r="K212" s="764"/>
      <c r="L212" s="728"/>
    </row>
    <row r="213" spans="2:12" ht="15.75" hidden="1">
      <c r="B213" s="672"/>
      <c r="K213" s="764"/>
      <c r="L213" s="728"/>
    </row>
    <row r="214" spans="2:12" ht="15.75" hidden="1">
      <c r="B214" s="672"/>
      <c r="K214" s="764"/>
      <c r="L214" s="728"/>
    </row>
    <row r="215" spans="2:12" ht="15.75" hidden="1">
      <c r="B215" s="672"/>
      <c r="K215" s="764"/>
      <c r="L215" s="728"/>
    </row>
    <row r="216" spans="2:12" ht="15.75" hidden="1">
      <c r="B216" s="672"/>
      <c r="K216" s="764"/>
      <c r="L216" s="728"/>
    </row>
    <row r="217" spans="2:12" ht="15.75" hidden="1">
      <c r="B217" s="672"/>
      <c r="K217" s="764"/>
      <c r="L217" s="728"/>
    </row>
    <row r="218" spans="2:12" ht="15.75" hidden="1">
      <c r="B218" s="672"/>
      <c r="K218" s="764"/>
      <c r="L218" s="728"/>
    </row>
    <row r="219" spans="2:12" ht="15.75" hidden="1">
      <c r="B219" s="672"/>
      <c r="K219" s="764"/>
      <c r="L219" s="728"/>
    </row>
    <row r="220" spans="2:12" ht="15.75" hidden="1">
      <c r="B220" s="672"/>
      <c r="K220" s="764"/>
      <c r="L220" s="728"/>
    </row>
    <row r="221" spans="2:12" ht="15.75" hidden="1">
      <c r="B221" s="672"/>
      <c r="K221" s="764"/>
      <c r="L221" s="728"/>
    </row>
    <row r="222" spans="2:12" ht="15.75" hidden="1">
      <c r="B222" s="672"/>
      <c r="K222" s="764"/>
      <c r="L222" s="728"/>
    </row>
    <row r="223" spans="2:12" ht="16.5" hidden="1" thickBot="1">
      <c r="B223" s="672"/>
      <c r="K223" s="764"/>
      <c r="L223" s="728"/>
    </row>
    <row r="224" spans="2:12" ht="16.5" thickBot="1">
      <c r="B224" s="672"/>
      <c r="C224" s="684"/>
      <c r="D224" s="1830" t="s">
        <v>851</v>
      </c>
      <c r="E224" s="1831"/>
      <c r="F224" s="1831"/>
      <c r="G224" s="1831"/>
      <c r="H224" s="1832"/>
      <c r="K224" s="664"/>
      <c r="L224" s="666"/>
    </row>
    <row r="225" spans="2:12" ht="15.75">
      <c r="B225" s="672"/>
      <c r="C225" s="684"/>
      <c r="D225" s="765" t="s">
        <v>821</v>
      </c>
      <c r="E225" s="766" t="s">
        <v>852</v>
      </c>
      <c r="F225" s="766" t="s">
        <v>761</v>
      </c>
      <c r="G225" s="1833" t="s">
        <v>823</v>
      </c>
      <c r="H225" s="1834"/>
      <c r="K225" s="664"/>
      <c r="L225" s="666"/>
    </row>
    <row r="226" spans="2:12" ht="15">
      <c r="B226" s="672"/>
      <c r="C226" s="673"/>
      <c r="D226" s="1360">
        <v>25</v>
      </c>
      <c r="E226" s="1360">
        <v>5.5</v>
      </c>
      <c r="F226" s="1360">
        <v>4</v>
      </c>
      <c r="G226" s="1835">
        <f>D226*E226*F226</f>
        <v>550</v>
      </c>
      <c r="H226" s="1836"/>
      <c r="K226" s="664"/>
      <c r="L226" s="666"/>
    </row>
    <row r="227" spans="2:12" ht="18">
      <c r="B227" s="672"/>
      <c r="D227" s="1822" t="s">
        <v>22</v>
      </c>
      <c r="E227" s="1823"/>
      <c r="F227" s="1824"/>
      <c r="G227" s="1837">
        <f>G226</f>
        <v>550</v>
      </c>
      <c r="H227" s="1838"/>
      <c r="K227" s="664"/>
      <c r="L227" s="666"/>
    </row>
    <row r="228" spans="2:12">
      <c r="B228" s="672"/>
      <c r="C228" s="671"/>
      <c r="K228" s="664"/>
      <c r="L228" s="676"/>
    </row>
    <row r="229" spans="2:12" ht="15.75" customHeight="1">
      <c r="B229" s="725" t="s">
        <v>853</v>
      </c>
      <c r="C229" s="1772" t="s">
        <v>819</v>
      </c>
      <c r="D229" s="1772"/>
      <c r="E229" s="1772"/>
      <c r="F229" s="1772"/>
      <c r="G229" s="1772"/>
      <c r="H229" s="1772"/>
      <c r="I229" s="726"/>
      <c r="J229" s="726"/>
      <c r="K229" s="727" t="s">
        <v>2</v>
      </c>
      <c r="L229" s="728">
        <f>H289</f>
        <v>257.35000000000002</v>
      </c>
    </row>
    <row r="230" spans="2:12" ht="13.5" thickBot="1">
      <c r="B230" s="672"/>
      <c r="C230" s="671"/>
      <c r="K230" s="664"/>
      <c r="L230" s="676"/>
    </row>
    <row r="231" spans="2:12" hidden="1">
      <c r="B231" s="672"/>
      <c r="C231" s="671"/>
      <c r="K231" s="664"/>
      <c r="L231" s="676"/>
    </row>
    <row r="232" spans="2:12" hidden="1">
      <c r="B232" s="672"/>
      <c r="C232" s="671"/>
      <c r="K232" s="664"/>
      <c r="L232" s="676"/>
    </row>
    <row r="233" spans="2:12" hidden="1">
      <c r="B233" s="672"/>
      <c r="C233" s="671"/>
      <c r="K233" s="664"/>
      <c r="L233" s="676"/>
    </row>
    <row r="234" spans="2:12" hidden="1">
      <c r="B234" s="672"/>
      <c r="C234" s="671"/>
      <c r="K234" s="664"/>
      <c r="L234" s="676"/>
    </row>
    <row r="235" spans="2:12" hidden="1">
      <c r="B235" s="672"/>
      <c r="C235" s="671"/>
      <c r="K235" s="664"/>
      <c r="L235" s="676"/>
    </row>
    <row r="236" spans="2:12" hidden="1">
      <c r="B236" s="672"/>
      <c r="C236" s="671"/>
      <c r="K236" s="664"/>
      <c r="L236" s="676"/>
    </row>
    <row r="237" spans="2:12" hidden="1">
      <c r="B237" s="672"/>
      <c r="C237" s="671"/>
      <c r="K237" s="664"/>
      <c r="L237" s="676"/>
    </row>
    <row r="238" spans="2:12" hidden="1">
      <c r="B238" s="672"/>
      <c r="C238" s="671"/>
      <c r="K238" s="664"/>
      <c r="L238" s="676"/>
    </row>
    <row r="239" spans="2:12" hidden="1">
      <c r="B239" s="672"/>
      <c r="C239" s="671"/>
      <c r="K239" s="664"/>
      <c r="L239" s="676"/>
    </row>
    <row r="240" spans="2:12" hidden="1">
      <c r="B240" s="672"/>
      <c r="C240" s="671"/>
      <c r="K240" s="664"/>
      <c r="L240" s="676"/>
    </row>
    <row r="241" spans="2:12" hidden="1">
      <c r="B241" s="672"/>
      <c r="C241" s="671"/>
      <c r="K241" s="664"/>
      <c r="L241" s="676"/>
    </row>
    <row r="242" spans="2:12" hidden="1">
      <c r="B242" s="672"/>
      <c r="C242" s="671"/>
      <c r="K242" s="664"/>
      <c r="L242" s="676"/>
    </row>
    <row r="243" spans="2:12" hidden="1">
      <c r="B243" s="672"/>
      <c r="C243" s="671"/>
      <c r="K243" s="664"/>
      <c r="L243" s="676"/>
    </row>
    <row r="244" spans="2:12" hidden="1">
      <c r="B244" s="672"/>
      <c r="C244" s="671"/>
      <c r="K244" s="664"/>
      <c r="L244" s="676"/>
    </row>
    <row r="245" spans="2:12" hidden="1">
      <c r="B245" s="672"/>
      <c r="C245" s="671"/>
      <c r="K245" s="664"/>
      <c r="L245" s="676"/>
    </row>
    <row r="246" spans="2:12" hidden="1">
      <c r="B246" s="672"/>
      <c r="C246" s="671"/>
      <c r="K246" s="664"/>
      <c r="L246" s="676"/>
    </row>
    <row r="247" spans="2:12" hidden="1">
      <c r="B247" s="672"/>
      <c r="C247" s="671"/>
      <c r="K247" s="664"/>
      <c r="L247" s="676"/>
    </row>
    <row r="248" spans="2:12" hidden="1">
      <c r="B248" s="672"/>
      <c r="C248" s="671"/>
      <c r="K248" s="664"/>
      <c r="L248" s="676"/>
    </row>
    <row r="249" spans="2:12" hidden="1">
      <c r="B249" s="672"/>
      <c r="C249" s="671"/>
      <c r="K249" s="664"/>
      <c r="L249" s="676"/>
    </row>
    <row r="250" spans="2:12" hidden="1">
      <c r="B250" s="672"/>
      <c r="C250" s="671"/>
      <c r="K250" s="664"/>
      <c r="L250" s="676"/>
    </row>
    <row r="251" spans="2:12" hidden="1">
      <c r="B251" s="672"/>
      <c r="C251" s="671"/>
      <c r="K251" s="664"/>
      <c r="L251" s="676"/>
    </row>
    <row r="252" spans="2:12" hidden="1">
      <c r="B252" s="672"/>
      <c r="C252" s="671"/>
      <c r="K252" s="664"/>
      <c r="L252" s="676"/>
    </row>
    <row r="253" spans="2:12" hidden="1">
      <c r="B253" s="672"/>
      <c r="C253" s="671"/>
      <c r="K253" s="664"/>
      <c r="L253" s="676"/>
    </row>
    <row r="254" spans="2:12" hidden="1">
      <c r="B254" s="672"/>
      <c r="C254" s="671"/>
      <c r="K254" s="664"/>
      <c r="L254" s="676"/>
    </row>
    <row r="255" spans="2:12" ht="13.5" hidden="1" thickBot="1">
      <c r="B255" s="672"/>
      <c r="C255" s="671"/>
      <c r="K255" s="664"/>
      <c r="L255" s="676"/>
    </row>
    <row r="256" spans="2:12" ht="16.5" thickBot="1">
      <c r="B256" s="672"/>
      <c r="C256" s="673"/>
      <c r="D256" s="1843" t="s">
        <v>854</v>
      </c>
      <c r="E256" s="1844"/>
      <c r="F256" s="1844"/>
      <c r="G256" s="1844"/>
      <c r="H256" s="1845"/>
      <c r="K256" s="664"/>
      <c r="L256" s="666"/>
    </row>
    <row r="257" spans="2:12" ht="15">
      <c r="B257" s="672"/>
      <c r="C257" s="673"/>
      <c r="D257" s="1846" t="s">
        <v>775</v>
      </c>
      <c r="E257" s="1847"/>
      <c r="F257" s="1847"/>
      <c r="G257" s="1847"/>
      <c r="H257" s="1848"/>
      <c r="K257" s="664"/>
      <c r="L257" s="666"/>
    </row>
    <row r="258" spans="2:12" ht="15">
      <c r="B258" s="672"/>
      <c r="C258" s="673"/>
      <c r="D258" s="1779" t="s">
        <v>855</v>
      </c>
      <c r="E258" s="1780"/>
      <c r="F258" s="741" t="s">
        <v>767</v>
      </c>
      <c r="G258" s="741" t="s">
        <v>307</v>
      </c>
      <c r="H258" s="753" t="s">
        <v>22</v>
      </c>
      <c r="K258" s="664"/>
      <c r="L258" s="666"/>
    </row>
    <row r="259" spans="2:12" ht="15">
      <c r="B259" s="672"/>
      <c r="C259" s="673"/>
      <c r="D259" s="1849" t="s">
        <v>856</v>
      </c>
      <c r="E259" s="1849"/>
      <c r="F259" s="1380">
        <v>3.55</v>
      </c>
      <c r="G259" s="1379">
        <v>0.82</v>
      </c>
      <c r="H259" s="754">
        <f>F259*G259</f>
        <v>2.91</v>
      </c>
      <c r="K259" s="664"/>
      <c r="L259" s="666"/>
    </row>
    <row r="260" spans="2:12" ht="15">
      <c r="B260" s="672"/>
      <c r="C260" s="673"/>
      <c r="D260" s="1842" t="s">
        <v>857</v>
      </c>
      <c r="E260" s="1842"/>
      <c r="F260" s="1382">
        <v>3.2</v>
      </c>
      <c r="G260" s="1381">
        <v>0.82</v>
      </c>
      <c r="H260" s="767">
        <f t="shared" ref="H260:H288" si="1">F260*G260</f>
        <v>2.62</v>
      </c>
      <c r="K260" s="664"/>
      <c r="L260" s="666"/>
    </row>
    <row r="261" spans="2:12" ht="15">
      <c r="B261" s="672"/>
      <c r="C261" s="673"/>
      <c r="D261" s="1842" t="s">
        <v>858</v>
      </c>
      <c r="E261" s="1842"/>
      <c r="F261" s="1382">
        <v>4.7</v>
      </c>
      <c r="G261" s="1381">
        <v>0.82</v>
      </c>
      <c r="H261" s="767">
        <f t="shared" si="1"/>
        <v>3.85</v>
      </c>
      <c r="K261" s="664"/>
      <c r="L261" s="666"/>
    </row>
    <row r="262" spans="2:12" ht="15">
      <c r="B262" s="672"/>
      <c r="C262" s="673"/>
      <c r="D262" s="1842" t="s">
        <v>859</v>
      </c>
      <c r="E262" s="1842"/>
      <c r="F262" s="1382">
        <v>4.7</v>
      </c>
      <c r="G262" s="1381">
        <v>0.82</v>
      </c>
      <c r="H262" s="767">
        <f t="shared" si="1"/>
        <v>3.85</v>
      </c>
      <c r="K262" s="664"/>
      <c r="L262" s="666"/>
    </row>
    <row r="263" spans="2:12" ht="15">
      <c r="B263" s="672"/>
      <c r="C263" s="673"/>
      <c r="D263" s="1842" t="s">
        <v>860</v>
      </c>
      <c r="E263" s="1842"/>
      <c r="F263" s="1382">
        <v>3.2</v>
      </c>
      <c r="G263" s="1381">
        <v>0.82</v>
      </c>
      <c r="H263" s="767">
        <f t="shared" si="1"/>
        <v>2.62</v>
      </c>
      <c r="K263" s="664"/>
      <c r="L263" s="666"/>
    </row>
    <row r="264" spans="2:12" ht="15">
      <c r="B264" s="672"/>
      <c r="C264" s="673"/>
      <c r="D264" s="1842" t="s">
        <v>861</v>
      </c>
      <c r="E264" s="1842"/>
      <c r="F264" s="1382">
        <v>3.55</v>
      </c>
      <c r="G264" s="1381">
        <v>0.82</v>
      </c>
      <c r="H264" s="767">
        <f t="shared" si="1"/>
        <v>2.91</v>
      </c>
      <c r="K264" s="664"/>
      <c r="L264" s="666"/>
    </row>
    <row r="265" spans="2:12" ht="15">
      <c r="B265" s="672"/>
      <c r="C265" s="673"/>
      <c r="D265" s="1842" t="s">
        <v>862</v>
      </c>
      <c r="E265" s="1842"/>
      <c r="F265" s="1382">
        <v>3.55</v>
      </c>
      <c r="G265" s="1381">
        <v>2.4500000000000002</v>
      </c>
      <c r="H265" s="767">
        <f t="shared" si="1"/>
        <v>8.6999999999999993</v>
      </c>
      <c r="K265" s="664"/>
      <c r="L265" s="666"/>
    </row>
    <row r="266" spans="2:12" ht="15">
      <c r="B266" s="672"/>
      <c r="C266" s="673"/>
      <c r="D266" s="1842" t="s">
        <v>863</v>
      </c>
      <c r="E266" s="1842"/>
      <c r="F266" s="1382">
        <v>3.2</v>
      </c>
      <c r="G266" s="1381">
        <v>2.4500000000000002</v>
      </c>
      <c r="H266" s="767">
        <f t="shared" si="1"/>
        <v>7.84</v>
      </c>
      <c r="K266" s="664"/>
      <c r="L266" s="666"/>
    </row>
    <row r="267" spans="2:12" ht="15">
      <c r="B267" s="672"/>
      <c r="C267" s="673"/>
      <c r="D267" s="1842" t="s">
        <v>864</v>
      </c>
      <c r="E267" s="1842"/>
      <c r="F267" s="1382">
        <v>4.7</v>
      </c>
      <c r="G267" s="1381">
        <v>2.4500000000000002</v>
      </c>
      <c r="H267" s="767">
        <f t="shared" si="1"/>
        <v>11.52</v>
      </c>
      <c r="K267" s="664"/>
      <c r="L267" s="666"/>
    </row>
    <row r="268" spans="2:12" ht="15">
      <c r="B268" s="672"/>
      <c r="C268" s="673"/>
      <c r="D268" s="1842" t="s">
        <v>865</v>
      </c>
      <c r="E268" s="1842"/>
      <c r="F268" s="1382">
        <v>4.7</v>
      </c>
      <c r="G268" s="1381">
        <v>2.4500000000000002</v>
      </c>
      <c r="H268" s="767">
        <f t="shared" si="1"/>
        <v>11.52</v>
      </c>
      <c r="K268" s="664"/>
      <c r="L268" s="666"/>
    </row>
    <row r="269" spans="2:12" ht="15">
      <c r="B269" s="672"/>
      <c r="C269" s="673"/>
      <c r="D269" s="1842" t="s">
        <v>866</v>
      </c>
      <c r="E269" s="1842"/>
      <c r="F269" s="1382">
        <v>3.2</v>
      </c>
      <c r="G269" s="1381">
        <v>2.4500000000000002</v>
      </c>
      <c r="H269" s="767">
        <f t="shared" si="1"/>
        <v>7.84</v>
      </c>
      <c r="K269" s="664"/>
      <c r="L269" s="666"/>
    </row>
    <row r="270" spans="2:12" ht="15">
      <c r="B270" s="672"/>
      <c r="C270" s="673"/>
      <c r="D270" s="1842" t="s">
        <v>867</v>
      </c>
      <c r="E270" s="1842"/>
      <c r="F270" s="1382">
        <v>3.55</v>
      </c>
      <c r="G270" s="1381">
        <v>2.4500000000000002</v>
      </c>
      <c r="H270" s="767">
        <f t="shared" si="1"/>
        <v>8.6999999999999993</v>
      </c>
      <c r="K270" s="664"/>
      <c r="L270" s="666"/>
    </row>
    <row r="271" spans="2:12" ht="15">
      <c r="B271" s="672"/>
      <c r="C271" s="673"/>
      <c r="D271" s="1842" t="s">
        <v>868</v>
      </c>
      <c r="E271" s="1842"/>
      <c r="F271" s="1382">
        <v>3.55</v>
      </c>
      <c r="G271" s="1381">
        <v>2.4500000000000002</v>
      </c>
      <c r="H271" s="767">
        <f t="shared" si="1"/>
        <v>8.6999999999999993</v>
      </c>
      <c r="K271" s="664"/>
      <c r="L271" s="666"/>
    </row>
    <row r="272" spans="2:12" ht="15">
      <c r="B272" s="672"/>
      <c r="C272" s="673"/>
      <c r="D272" s="1842" t="s">
        <v>869</v>
      </c>
      <c r="E272" s="1842"/>
      <c r="F272" s="1382">
        <v>3.2</v>
      </c>
      <c r="G272" s="1381">
        <v>2.4500000000000002</v>
      </c>
      <c r="H272" s="767">
        <f t="shared" si="1"/>
        <v>7.84</v>
      </c>
      <c r="K272" s="664"/>
      <c r="L272" s="666"/>
    </row>
    <row r="273" spans="2:12" ht="15">
      <c r="B273" s="672"/>
      <c r="C273" s="673"/>
      <c r="D273" s="1842" t="s">
        <v>870</v>
      </c>
      <c r="E273" s="1842"/>
      <c r="F273" s="1382">
        <v>4.7</v>
      </c>
      <c r="G273" s="1381">
        <v>2.4500000000000002</v>
      </c>
      <c r="H273" s="767">
        <f t="shared" si="1"/>
        <v>11.52</v>
      </c>
      <c r="K273" s="664"/>
      <c r="L273" s="666"/>
    </row>
    <row r="274" spans="2:12" ht="15">
      <c r="B274" s="672"/>
      <c r="C274" s="673"/>
      <c r="D274" s="1842" t="s">
        <v>871</v>
      </c>
      <c r="E274" s="1842"/>
      <c r="F274" s="1382">
        <v>4.7</v>
      </c>
      <c r="G274" s="1381">
        <v>2.4500000000000002</v>
      </c>
      <c r="H274" s="767">
        <f t="shared" si="1"/>
        <v>11.52</v>
      </c>
      <c r="K274" s="664"/>
      <c r="L274" s="666"/>
    </row>
    <row r="275" spans="2:12" ht="15">
      <c r="B275" s="672"/>
      <c r="C275" s="673"/>
      <c r="D275" s="1842" t="s">
        <v>872</v>
      </c>
      <c r="E275" s="1842"/>
      <c r="F275" s="1382">
        <v>3.2</v>
      </c>
      <c r="G275" s="1381">
        <v>2.4500000000000002</v>
      </c>
      <c r="H275" s="767">
        <f t="shared" si="1"/>
        <v>7.84</v>
      </c>
      <c r="K275" s="664"/>
      <c r="L275" s="666"/>
    </row>
    <row r="276" spans="2:12" ht="15">
      <c r="B276" s="672"/>
      <c r="C276" s="673"/>
      <c r="D276" s="1842" t="s">
        <v>873</v>
      </c>
      <c r="E276" s="1842"/>
      <c r="F276" s="1382">
        <v>3.55</v>
      </c>
      <c r="G276" s="1381">
        <v>2.4500000000000002</v>
      </c>
      <c r="H276" s="767">
        <f t="shared" si="1"/>
        <v>8.6999999999999993</v>
      </c>
      <c r="K276" s="664"/>
      <c r="L276" s="666"/>
    </row>
    <row r="277" spans="2:12" ht="15">
      <c r="B277" s="672"/>
      <c r="C277" s="673"/>
      <c r="D277" s="1842" t="s">
        <v>874</v>
      </c>
      <c r="E277" s="1842"/>
      <c r="F277" s="1382">
        <v>3.55</v>
      </c>
      <c r="G277" s="1381">
        <v>2.4500000000000002</v>
      </c>
      <c r="H277" s="767">
        <f t="shared" si="1"/>
        <v>8.6999999999999993</v>
      </c>
      <c r="K277" s="664"/>
      <c r="L277" s="666"/>
    </row>
    <row r="278" spans="2:12" ht="15">
      <c r="B278" s="672"/>
      <c r="C278" s="673"/>
      <c r="D278" s="1842" t="s">
        <v>875</v>
      </c>
      <c r="E278" s="1842"/>
      <c r="F278" s="1382">
        <v>3.2</v>
      </c>
      <c r="G278" s="1381">
        <v>2.4500000000000002</v>
      </c>
      <c r="H278" s="767">
        <f t="shared" si="1"/>
        <v>7.84</v>
      </c>
      <c r="K278" s="664"/>
      <c r="L278" s="666"/>
    </row>
    <row r="279" spans="2:12" ht="15">
      <c r="B279" s="672"/>
      <c r="C279" s="673"/>
      <c r="D279" s="1842" t="s">
        <v>1627</v>
      </c>
      <c r="E279" s="1842"/>
      <c r="F279" s="1382">
        <v>4.7</v>
      </c>
      <c r="G279" s="1381">
        <v>2.4500000000000002</v>
      </c>
      <c r="H279" s="767">
        <f t="shared" si="1"/>
        <v>11.52</v>
      </c>
      <c r="K279" s="664"/>
      <c r="L279" s="666"/>
    </row>
    <row r="280" spans="2:12" ht="15">
      <c r="B280" s="672"/>
      <c r="C280" s="673"/>
      <c r="D280" s="1842" t="s">
        <v>1628</v>
      </c>
      <c r="E280" s="1842"/>
      <c r="F280" s="1382">
        <v>4.7</v>
      </c>
      <c r="G280" s="1381">
        <v>2.4500000000000002</v>
      </c>
      <c r="H280" s="767">
        <f t="shared" si="1"/>
        <v>11.52</v>
      </c>
      <c r="K280" s="664"/>
      <c r="L280" s="666"/>
    </row>
    <row r="281" spans="2:12" ht="15">
      <c r="B281" s="672"/>
      <c r="C281" s="673"/>
      <c r="D281" s="1842" t="s">
        <v>1629</v>
      </c>
      <c r="E281" s="1842"/>
      <c r="F281" s="1382">
        <v>3.2</v>
      </c>
      <c r="G281" s="1381">
        <v>2.4500000000000002</v>
      </c>
      <c r="H281" s="767">
        <f t="shared" si="1"/>
        <v>7.84</v>
      </c>
      <c r="K281" s="664"/>
      <c r="L281" s="666"/>
    </row>
    <row r="282" spans="2:12" ht="15">
      <c r="B282" s="672"/>
      <c r="C282" s="673"/>
      <c r="D282" s="1842" t="s">
        <v>1630</v>
      </c>
      <c r="E282" s="1842"/>
      <c r="F282" s="1382">
        <v>3.55</v>
      </c>
      <c r="G282" s="1381">
        <v>2.4500000000000002</v>
      </c>
      <c r="H282" s="767">
        <f t="shared" si="1"/>
        <v>8.6999999999999993</v>
      </c>
      <c r="K282" s="664"/>
      <c r="L282" s="666"/>
    </row>
    <row r="283" spans="2:12" ht="15">
      <c r="B283" s="672"/>
      <c r="C283" s="673"/>
      <c r="D283" s="1842" t="s">
        <v>1631</v>
      </c>
      <c r="E283" s="1842"/>
      <c r="F283" s="1382">
        <v>3.55</v>
      </c>
      <c r="G283" s="1381">
        <v>0.82</v>
      </c>
      <c r="H283" s="767">
        <f t="shared" si="1"/>
        <v>2.91</v>
      </c>
      <c r="K283" s="664"/>
      <c r="L283" s="666"/>
    </row>
    <row r="284" spans="2:12" ht="15">
      <c r="B284" s="672"/>
      <c r="C284" s="673"/>
      <c r="D284" s="1842" t="s">
        <v>1632</v>
      </c>
      <c r="E284" s="1842"/>
      <c r="F284" s="1382">
        <v>3.2</v>
      </c>
      <c r="G284" s="1381">
        <v>0.82</v>
      </c>
      <c r="H284" s="767">
        <f t="shared" si="1"/>
        <v>2.62</v>
      </c>
      <c r="K284" s="664"/>
      <c r="L284" s="666"/>
    </row>
    <row r="285" spans="2:12" ht="15">
      <c r="B285" s="672"/>
      <c r="C285" s="673"/>
      <c r="D285" s="1842" t="s">
        <v>1633</v>
      </c>
      <c r="E285" s="1842"/>
      <c r="F285" s="1382">
        <v>4.7</v>
      </c>
      <c r="G285" s="1381">
        <v>0.82</v>
      </c>
      <c r="H285" s="767">
        <f t="shared" si="1"/>
        <v>3.85</v>
      </c>
      <c r="K285" s="664"/>
      <c r="L285" s="666"/>
    </row>
    <row r="286" spans="2:12" ht="15">
      <c r="B286" s="672"/>
      <c r="C286" s="673"/>
      <c r="D286" s="1842" t="s">
        <v>1634</v>
      </c>
      <c r="E286" s="1842"/>
      <c r="F286" s="1382">
        <v>4.7</v>
      </c>
      <c r="G286" s="1381">
        <v>0.82</v>
      </c>
      <c r="H286" s="767">
        <f t="shared" si="1"/>
        <v>3.85</v>
      </c>
      <c r="K286" s="664"/>
      <c r="L286" s="666"/>
    </row>
    <row r="287" spans="2:12" ht="15">
      <c r="B287" s="672"/>
      <c r="C287" s="673"/>
      <c r="D287" s="1842" t="s">
        <v>1635</v>
      </c>
      <c r="E287" s="1842"/>
      <c r="F287" s="1382">
        <v>3.2</v>
      </c>
      <c r="G287" s="1381">
        <v>0.82</v>
      </c>
      <c r="H287" s="767">
        <f t="shared" si="1"/>
        <v>2.62</v>
      </c>
      <c r="K287" s="664"/>
      <c r="L287" s="666"/>
    </row>
    <row r="288" spans="2:12" ht="15.75" thickBot="1">
      <c r="B288" s="672"/>
      <c r="C288" s="673"/>
      <c r="D288" s="1842" t="s">
        <v>1636</v>
      </c>
      <c r="E288" s="1842"/>
      <c r="F288" s="1382">
        <v>3.55</v>
      </c>
      <c r="G288" s="1381">
        <v>0.82</v>
      </c>
      <c r="H288" s="767">
        <f t="shared" si="1"/>
        <v>2.91</v>
      </c>
      <c r="K288" s="664"/>
      <c r="L288" s="666"/>
    </row>
    <row r="289" spans="2:17" ht="18.75" thickBot="1">
      <c r="B289" s="672"/>
      <c r="D289" s="1816" t="s">
        <v>827</v>
      </c>
      <c r="E289" s="1817"/>
      <c r="F289" s="1817"/>
      <c r="G289" s="1817"/>
      <c r="H289" s="758">
        <f>SUM(H259:H288)*(1+$N$3)</f>
        <v>257.35000000000002</v>
      </c>
      <c r="K289" s="664"/>
      <c r="L289" s="666"/>
    </row>
    <row r="290" spans="2:17">
      <c r="B290" s="759"/>
      <c r="K290" s="680"/>
      <c r="L290" s="681"/>
    </row>
    <row r="291" spans="2:17" ht="33" customHeight="1">
      <c r="B291" s="725" t="s">
        <v>876</v>
      </c>
      <c r="C291" s="1772" t="s">
        <v>844</v>
      </c>
      <c r="D291" s="1772"/>
      <c r="E291" s="1772"/>
      <c r="F291" s="1772"/>
      <c r="G291" s="1772"/>
      <c r="H291" s="1772"/>
      <c r="I291" s="726"/>
      <c r="J291" s="726"/>
      <c r="K291" s="727" t="s">
        <v>791</v>
      </c>
      <c r="L291" s="728">
        <f>G296</f>
        <v>2575.36</v>
      </c>
    </row>
    <row r="292" spans="2:17" ht="15">
      <c r="B292" s="672"/>
      <c r="C292" s="671"/>
      <c r="K292" s="664"/>
      <c r="L292" s="676"/>
      <c r="Q292" s="768">
        <f>L229+L156+L68</f>
        <v>1026.79</v>
      </c>
    </row>
    <row r="293" spans="2:17" s="734" customFormat="1" ht="27.75" customHeight="1">
      <c r="B293" s="735"/>
      <c r="D293" s="1850" t="s">
        <v>877</v>
      </c>
      <c r="E293" s="1851"/>
      <c r="F293" s="1851"/>
      <c r="G293" s="1851"/>
      <c r="H293" s="1852"/>
      <c r="K293" s="737"/>
      <c r="L293" s="738"/>
    </row>
    <row r="294" spans="2:17" s="734" customFormat="1" ht="27.75" customHeight="1">
      <c r="B294" s="735"/>
      <c r="C294" s="739"/>
      <c r="D294" s="1776" t="s">
        <v>878</v>
      </c>
      <c r="E294" s="1777"/>
      <c r="F294" s="1778"/>
      <c r="G294" s="1755">
        <f>1508.4+1324.5</f>
        <v>2832.9</v>
      </c>
      <c r="H294" s="1755"/>
      <c r="K294" s="737"/>
      <c r="L294" s="738"/>
      <c r="N294" s="740" t="s">
        <v>831</v>
      </c>
    </row>
    <row r="295" spans="2:17" s="734" customFormat="1" ht="27.75" customHeight="1">
      <c r="B295" s="735"/>
      <c r="D295" s="1805" t="s">
        <v>22</v>
      </c>
      <c r="E295" s="1806"/>
      <c r="F295" s="1807"/>
      <c r="G295" s="1828">
        <f>G294</f>
        <v>2832.9</v>
      </c>
      <c r="H295" s="1829"/>
      <c r="K295" s="737"/>
      <c r="L295" s="738"/>
      <c r="Q295" s="768">
        <f>L298+L183+L114</f>
        <v>142.41999999999999</v>
      </c>
    </row>
    <row r="296" spans="2:17" s="734" customFormat="1" ht="24.75" customHeight="1">
      <c r="B296" s="735"/>
      <c r="D296" s="1810" t="s">
        <v>832</v>
      </c>
      <c r="E296" s="1810"/>
      <c r="F296" s="1810"/>
      <c r="G296" s="1811">
        <f>G295/1.1</f>
        <v>2575.36</v>
      </c>
      <c r="H296" s="1811"/>
      <c r="K296" s="737"/>
      <c r="L296" s="738"/>
      <c r="N296" s="740"/>
      <c r="O296" s="740"/>
    </row>
    <row r="297" spans="2:17">
      <c r="B297" s="672"/>
      <c r="C297" s="671"/>
      <c r="K297" s="664"/>
      <c r="L297" s="676"/>
    </row>
    <row r="298" spans="2:17" ht="15.75" customHeight="1">
      <c r="B298" s="725" t="s">
        <v>879</v>
      </c>
      <c r="C298" s="1772" t="s">
        <v>833</v>
      </c>
      <c r="D298" s="1772"/>
      <c r="E298" s="1772"/>
      <c r="F298" s="1772"/>
      <c r="G298" s="1772"/>
      <c r="H298" s="1772"/>
      <c r="I298" s="726"/>
      <c r="J298" s="726"/>
      <c r="K298" s="727" t="s">
        <v>0</v>
      </c>
      <c r="L298" s="728">
        <f>H333</f>
        <v>49.54</v>
      </c>
    </row>
    <row r="299" spans="2:17" ht="13.5" thickBot="1">
      <c r="B299" s="672"/>
      <c r="C299" s="671"/>
      <c r="K299" s="664"/>
      <c r="L299" s="676"/>
    </row>
    <row r="300" spans="2:17" ht="16.5" thickBot="1">
      <c r="B300" s="672"/>
      <c r="C300" s="673"/>
      <c r="D300" s="1816" t="s">
        <v>880</v>
      </c>
      <c r="E300" s="1817"/>
      <c r="F300" s="1817"/>
      <c r="G300" s="1817"/>
      <c r="H300" s="1818"/>
      <c r="K300" s="664"/>
      <c r="L300" s="666"/>
    </row>
    <row r="301" spans="2:17" ht="15">
      <c r="B301" s="672"/>
      <c r="C301" s="673"/>
      <c r="D301" s="1846" t="s">
        <v>775</v>
      </c>
      <c r="E301" s="1847"/>
      <c r="F301" s="1847"/>
      <c r="G301" s="1847"/>
      <c r="H301" s="1848"/>
      <c r="K301" s="664"/>
      <c r="L301" s="666"/>
    </row>
    <row r="302" spans="2:17" ht="15">
      <c r="B302" s="672"/>
      <c r="C302" s="673"/>
      <c r="D302" s="769" t="s">
        <v>855</v>
      </c>
      <c r="E302" s="770" t="s">
        <v>768</v>
      </c>
      <c r="F302" s="741" t="s">
        <v>767</v>
      </c>
      <c r="G302" s="741" t="s">
        <v>307</v>
      </c>
      <c r="H302" s="753" t="s">
        <v>22</v>
      </c>
      <c r="K302" s="664"/>
      <c r="L302" s="666"/>
    </row>
    <row r="303" spans="2:17" ht="15">
      <c r="B303" s="672"/>
      <c r="C303" s="673"/>
      <c r="D303" s="1379" t="s">
        <v>856</v>
      </c>
      <c r="E303" s="1379">
        <v>0.2</v>
      </c>
      <c r="F303" s="1380">
        <v>3.55</v>
      </c>
      <c r="G303" s="1379">
        <v>0.82</v>
      </c>
      <c r="H303" s="1379">
        <f>F303*G303*E303</f>
        <v>0.57999999999999996</v>
      </c>
      <c r="K303" s="664"/>
      <c r="L303" s="666"/>
    </row>
    <row r="304" spans="2:17" ht="15">
      <c r="B304" s="672"/>
      <c r="C304" s="673"/>
      <c r="D304" s="1381" t="s">
        <v>857</v>
      </c>
      <c r="E304" s="1381">
        <v>0.2</v>
      </c>
      <c r="F304" s="1382">
        <v>3.2</v>
      </c>
      <c r="G304" s="1381">
        <v>0.82</v>
      </c>
      <c r="H304" s="1381">
        <f t="shared" ref="H304:H332" si="2">F304*G304*E304</f>
        <v>0.52</v>
      </c>
      <c r="K304" s="664"/>
      <c r="L304" s="666"/>
    </row>
    <row r="305" spans="2:12" ht="15">
      <c r="B305" s="672"/>
      <c r="C305" s="673"/>
      <c r="D305" s="1381" t="s">
        <v>858</v>
      </c>
      <c r="E305" s="1381">
        <v>0.2</v>
      </c>
      <c r="F305" s="1382">
        <v>4.7</v>
      </c>
      <c r="G305" s="1381">
        <v>0.82</v>
      </c>
      <c r="H305" s="1381">
        <f t="shared" si="2"/>
        <v>0.77</v>
      </c>
      <c r="K305" s="664"/>
      <c r="L305" s="666"/>
    </row>
    <row r="306" spans="2:12" ht="15">
      <c r="B306" s="672"/>
      <c r="C306" s="673"/>
      <c r="D306" s="1381" t="s">
        <v>859</v>
      </c>
      <c r="E306" s="1381">
        <v>0.2</v>
      </c>
      <c r="F306" s="1382">
        <v>4.7</v>
      </c>
      <c r="G306" s="1381">
        <v>0.82</v>
      </c>
      <c r="H306" s="1381">
        <f t="shared" si="2"/>
        <v>0.77</v>
      </c>
      <c r="K306" s="664"/>
      <c r="L306" s="666"/>
    </row>
    <row r="307" spans="2:12" ht="15">
      <c r="B307" s="672"/>
      <c r="C307" s="673"/>
      <c r="D307" s="1381" t="s">
        <v>860</v>
      </c>
      <c r="E307" s="1381">
        <v>0.2</v>
      </c>
      <c r="F307" s="1382">
        <v>3.2</v>
      </c>
      <c r="G307" s="1381">
        <v>0.82</v>
      </c>
      <c r="H307" s="1381">
        <f t="shared" si="2"/>
        <v>0.52</v>
      </c>
      <c r="K307" s="664"/>
      <c r="L307" s="666"/>
    </row>
    <row r="308" spans="2:12" ht="15">
      <c r="B308" s="672"/>
      <c r="C308" s="673"/>
      <c r="D308" s="1381" t="s">
        <v>861</v>
      </c>
      <c r="E308" s="1381">
        <v>0.2</v>
      </c>
      <c r="F308" s="1382">
        <v>3.55</v>
      </c>
      <c r="G308" s="1381">
        <v>0.82</v>
      </c>
      <c r="H308" s="1381">
        <f t="shared" si="2"/>
        <v>0.57999999999999996</v>
      </c>
      <c r="K308" s="664"/>
      <c r="L308" s="666"/>
    </row>
    <row r="309" spans="2:12" ht="15">
      <c r="B309" s="672"/>
      <c r="C309" s="673"/>
      <c r="D309" s="1381" t="s">
        <v>862</v>
      </c>
      <c r="E309" s="1381">
        <v>0.25</v>
      </c>
      <c r="F309" s="1382">
        <v>3.55</v>
      </c>
      <c r="G309" s="1381">
        <v>2.4500000000000002</v>
      </c>
      <c r="H309" s="1381">
        <f t="shared" si="2"/>
        <v>2.17</v>
      </c>
      <c r="K309" s="664"/>
      <c r="L309" s="666"/>
    </row>
    <row r="310" spans="2:12" ht="15">
      <c r="B310" s="672"/>
      <c r="C310" s="673"/>
      <c r="D310" s="1381" t="s">
        <v>863</v>
      </c>
      <c r="E310" s="1381">
        <v>0.25</v>
      </c>
      <c r="F310" s="1382">
        <v>3.2</v>
      </c>
      <c r="G310" s="1381">
        <v>2.4500000000000002</v>
      </c>
      <c r="H310" s="1381">
        <f t="shared" si="2"/>
        <v>1.96</v>
      </c>
      <c r="K310" s="664"/>
      <c r="L310" s="666"/>
    </row>
    <row r="311" spans="2:12" ht="15">
      <c r="B311" s="672"/>
      <c r="C311" s="673"/>
      <c r="D311" s="1381" t="s">
        <v>864</v>
      </c>
      <c r="E311" s="1381">
        <v>0.25</v>
      </c>
      <c r="F311" s="1382">
        <v>4.7</v>
      </c>
      <c r="G311" s="1381">
        <v>2.4500000000000002</v>
      </c>
      <c r="H311" s="1381">
        <f t="shared" si="2"/>
        <v>2.88</v>
      </c>
      <c r="K311" s="664"/>
      <c r="L311" s="666"/>
    </row>
    <row r="312" spans="2:12" ht="15">
      <c r="B312" s="672"/>
      <c r="C312" s="673"/>
      <c r="D312" s="1381" t="s">
        <v>865</v>
      </c>
      <c r="E312" s="1381">
        <v>0.25</v>
      </c>
      <c r="F312" s="1382">
        <v>4.7</v>
      </c>
      <c r="G312" s="1381">
        <v>2.4500000000000002</v>
      </c>
      <c r="H312" s="1381">
        <f t="shared" si="2"/>
        <v>2.88</v>
      </c>
      <c r="K312" s="664"/>
      <c r="L312" s="666"/>
    </row>
    <row r="313" spans="2:12" ht="15">
      <c r="B313" s="672"/>
      <c r="C313" s="673"/>
      <c r="D313" s="1381" t="s">
        <v>866</v>
      </c>
      <c r="E313" s="1381">
        <v>0.25</v>
      </c>
      <c r="F313" s="1382">
        <v>3.2</v>
      </c>
      <c r="G313" s="1381">
        <v>2.4500000000000002</v>
      </c>
      <c r="H313" s="1381">
        <f t="shared" si="2"/>
        <v>1.96</v>
      </c>
      <c r="K313" s="664"/>
      <c r="L313" s="666"/>
    </row>
    <row r="314" spans="2:12" ht="15">
      <c r="B314" s="672"/>
      <c r="C314" s="673"/>
      <c r="D314" s="1381" t="s">
        <v>867</v>
      </c>
      <c r="E314" s="1381">
        <v>0.25</v>
      </c>
      <c r="F314" s="1382">
        <v>3.55</v>
      </c>
      <c r="G314" s="1381">
        <v>2.4500000000000002</v>
      </c>
      <c r="H314" s="1381">
        <f t="shared" si="2"/>
        <v>2.17</v>
      </c>
      <c r="K314" s="664"/>
      <c r="L314" s="666"/>
    </row>
    <row r="315" spans="2:12" ht="15">
      <c r="B315" s="672"/>
      <c r="C315" s="673"/>
      <c r="D315" s="1381" t="s">
        <v>868</v>
      </c>
      <c r="E315" s="1381">
        <v>0.25</v>
      </c>
      <c r="F315" s="1382">
        <v>3.55</v>
      </c>
      <c r="G315" s="1381">
        <v>2.4500000000000002</v>
      </c>
      <c r="H315" s="1381">
        <f t="shared" si="2"/>
        <v>2.17</v>
      </c>
      <c r="K315" s="664"/>
      <c r="L315" s="666"/>
    </row>
    <row r="316" spans="2:12" ht="15">
      <c r="B316" s="672"/>
      <c r="C316" s="673"/>
      <c r="D316" s="1381" t="s">
        <v>869</v>
      </c>
      <c r="E316" s="1381">
        <v>0.25</v>
      </c>
      <c r="F316" s="1382">
        <v>3.2</v>
      </c>
      <c r="G316" s="1381">
        <v>2.4500000000000002</v>
      </c>
      <c r="H316" s="1381">
        <f t="shared" si="2"/>
        <v>1.96</v>
      </c>
      <c r="K316" s="664"/>
      <c r="L316" s="666"/>
    </row>
    <row r="317" spans="2:12" ht="15">
      <c r="B317" s="672"/>
      <c r="C317" s="673"/>
      <c r="D317" s="1381" t="s">
        <v>870</v>
      </c>
      <c r="E317" s="1381">
        <v>0.25</v>
      </c>
      <c r="F317" s="1382">
        <v>4.7</v>
      </c>
      <c r="G317" s="1381">
        <v>2.4500000000000002</v>
      </c>
      <c r="H317" s="1381">
        <f t="shared" si="2"/>
        <v>2.88</v>
      </c>
      <c r="K317" s="664"/>
      <c r="L317" s="666"/>
    </row>
    <row r="318" spans="2:12" ht="15">
      <c r="B318" s="672"/>
      <c r="C318" s="673"/>
      <c r="D318" s="1381" t="s">
        <v>871</v>
      </c>
      <c r="E318" s="1381">
        <v>0.25</v>
      </c>
      <c r="F318" s="1382">
        <v>4.7</v>
      </c>
      <c r="G318" s="1381">
        <v>2.4500000000000002</v>
      </c>
      <c r="H318" s="1381">
        <f t="shared" si="2"/>
        <v>2.88</v>
      </c>
      <c r="K318" s="664"/>
      <c r="L318" s="666"/>
    </row>
    <row r="319" spans="2:12" ht="15">
      <c r="B319" s="672"/>
      <c r="C319" s="673"/>
      <c r="D319" s="1381" t="s">
        <v>872</v>
      </c>
      <c r="E319" s="1381">
        <v>0.25</v>
      </c>
      <c r="F319" s="1382">
        <v>3.2</v>
      </c>
      <c r="G319" s="1381">
        <v>2.4500000000000002</v>
      </c>
      <c r="H319" s="1381">
        <f t="shared" si="2"/>
        <v>1.96</v>
      </c>
      <c r="K319" s="664"/>
      <c r="L319" s="666"/>
    </row>
    <row r="320" spans="2:12" ht="15">
      <c r="B320" s="672"/>
      <c r="C320" s="673"/>
      <c r="D320" s="1381" t="s">
        <v>873</v>
      </c>
      <c r="E320" s="1381">
        <v>0.25</v>
      </c>
      <c r="F320" s="1382">
        <v>3.55</v>
      </c>
      <c r="G320" s="1381">
        <v>2.4500000000000002</v>
      </c>
      <c r="H320" s="1381">
        <f t="shared" si="2"/>
        <v>2.17</v>
      </c>
      <c r="K320" s="664"/>
      <c r="L320" s="666"/>
    </row>
    <row r="321" spans="2:12" ht="15">
      <c r="B321" s="672"/>
      <c r="C321" s="673"/>
      <c r="D321" s="1381" t="s">
        <v>874</v>
      </c>
      <c r="E321" s="1381">
        <v>0.25</v>
      </c>
      <c r="F321" s="1382">
        <v>3.55</v>
      </c>
      <c r="G321" s="1381">
        <v>2.4500000000000002</v>
      </c>
      <c r="H321" s="1381">
        <f t="shared" si="2"/>
        <v>2.17</v>
      </c>
      <c r="K321" s="664"/>
      <c r="L321" s="666"/>
    </row>
    <row r="322" spans="2:12" ht="15">
      <c r="B322" s="672"/>
      <c r="C322" s="673"/>
      <c r="D322" s="1381" t="s">
        <v>875</v>
      </c>
      <c r="E322" s="1381">
        <v>0.25</v>
      </c>
      <c r="F322" s="1383">
        <v>3.2</v>
      </c>
      <c r="G322" s="1384">
        <v>2.4500000000000002</v>
      </c>
      <c r="H322" s="1381">
        <f t="shared" si="2"/>
        <v>1.96</v>
      </c>
      <c r="K322" s="664"/>
      <c r="L322" s="666"/>
    </row>
    <row r="323" spans="2:12" ht="15">
      <c r="B323" s="672"/>
      <c r="C323" s="673"/>
      <c r="D323" s="1381" t="s">
        <v>1627</v>
      </c>
      <c r="E323" s="1381">
        <v>0.25</v>
      </c>
      <c r="F323" s="1383">
        <v>4.7</v>
      </c>
      <c r="G323" s="1384">
        <v>2.4500000000000002</v>
      </c>
      <c r="H323" s="1381">
        <f t="shared" si="2"/>
        <v>2.88</v>
      </c>
      <c r="K323" s="664"/>
      <c r="L323" s="666"/>
    </row>
    <row r="324" spans="2:12" ht="15">
      <c r="B324" s="672"/>
      <c r="C324" s="673"/>
      <c r="D324" s="1381" t="s">
        <v>1628</v>
      </c>
      <c r="E324" s="1381">
        <v>0.25</v>
      </c>
      <c r="F324" s="1383">
        <v>4.7</v>
      </c>
      <c r="G324" s="1384">
        <v>2.4500000000000002</v>
      </c>
      <c r="H324" s="1381">
        <f t="shared" si="2"/>
        <v>2.88</v>
      </c>
      <c r="K324" s="664"/>
      <c r="L324" s="666"/>
    </row>
    <row r="325" spans="2:12" ht="15">
      <c r="B325" s="672"/>
      <c r="C325" s="673"/>
      <c r="D325" s="1381" t="s">
        <v>1629</v>
      </c>
      <c r="E325" s="1381">
        <v>0.25</v>
      </c>
      <c r="F325" s="1383">
        <v>3.2</v>
      </c>
      <c r="G325" s="1384">
        <v>2.4500000000000002</v>
      </c>
      <c r="H325" s="1381">
        <f t="shared" si="2"/>
        <v>1.96</v>
      </c>
      <c r="K325" s="664"/>
      <c r="L325" s="666"/>
    </row>
    <row r="326" spans="2:12" ht="15">
      <c r="B326" s="672"/>
      <c r="C326" s="673"/>
      <c r="D326" s="1381" t="s">
        <v>1630</v>
      </c>
      <c r="E326" s="1381">
        <v>0.25</v>
      </c>
      <c r="F326" s="1383">
        <v>3.55</v>
      </c>
      <c r="G326" s="1384">
        <v>2.4500000000000002</v>
      </c>
      <c r="H326" s="1381">
        <f t="shared" si="2"/>
        <v>2.17</v>
      </c>
      <c r="K326" s="664"/>
      <c r="L326" s="666"/>
    </row>
    <row r="327" spans="2:12" ht="15">
      <c r="B327" s="672"/>
      <c r="C327" s="673"/>
      <c r="D327" s="1381" t="s">
        <v>1631</v>
      </c>
      <c r="E327" s="1381">
        <v>0.2</v>
      </c>
      <c r="F327" s="1383">
        <v>3.55</v>
      </c>
      <c r="G327" s="1384">
        <v>0.82</v>
      </c>
      <c r="H327" s="1381">
        <f t="shared" si="2"/>
        <v>0.57999999999999996</v>
      </c>
      <c r="K327" s="664"/>
      <c r="L327" s="666"/>
    </row>
    <row r="328" spans="2:12" ht="15">
      <c r="B328" s="672"/>
      <c r="C328" s="673"/>
      <c r="D328" s="1381" t="s">
        <v>1632</v>
      </c>
      <c r="E328" s="1381">
        <v>0.2</v>
      </c>
      <c r="F328" s="1383">
        <v>3.2</v>
      </c>
      <c r="G328" s="1384">
        <v>0.82</v>
      </c>
      <c r="H328" s="1381">
        <f t="shared" si="2"/>
        <v>0.52</v>
      </c>
      <c r="K328" s="664"/>
      <c r="L328" s="666"/>
    </row>
    <row r="329" spans="2:12" ht="15">
      <c r="B329" s="672"/>
      <c r="C329" s="673"/>
      <c r="D329" s="1381" t="s">
        <v>1633</v>
      </c>
      <c r="E329" s="1381">
        <v>0.2</v>
      </c>
      <c r="F329" s="1383">
        <v>4.7</v>
      </c>
      <c r="G329" s="1384">
        <v>0.82</v>
      </c>
      <c r="H329" s="1381">
        <f t="shared" si="2"/>
        <v>0.77</v>
      </c>
      <c r="K329" s="664"/>
      <c r="L329" s="666"/>
    </row>
    <row r="330" spans="2:12" ht="15">
      <c r="B330" s="672"/>
      <c r="C330" s="673"/>
      <c r="D330" s="1381" t="s">
        <v>1634</v>
      </c>
      <c r="E330" s="1381">
        <v>0.2</v>
      </c>
      <c r="F330" s="1383">
        <v>4.7</v>
      </c>
      <c r="G330" s="1384">
        <v>0.82</v>
      </c>
      <c r="H330" s="1381">
        <f t="shared" si="2"/>
        <v>0.77</v>
      </c>
      <c r="K330" s="664"/>
      <c r="L330" s="666"/>
    </row>
    <row r="331" spans="2:12" ht="15">
      <c r="B331" s="672"/>
      <c r="C331" s="673"/>
      <c r="D331" s="1381" t="s">
        <v>1635</v>
      </c>
      <c r="E331" s="1381">
        <v>0.2</v>
      </c>
      <c r="F331" s="1383">
        <v>3.2</v>
      </c>
      <c r="G331" s="1384">
        <v>0.82</v>
      </c>
      <c r="H331" s="1381">
        <f t="shared" si="2"/>
        <v>0.52</v>
      </c>
      <c r="K331" s="664"/>
      <c r="L331" s="666"/>
    </row>
    <row r="332" spans="2:12" ht="15.75" thickBot="1">
      <c r="B332" s="672"/>
      <c r="C332" s="673"/>
      <c r="D332" s="1381" t="s">
        <v>1636</v>
      </c>
      <c r="E332" s="1381">
        <v>0.2</v>
      </c>
      <c r="F332" s="1383">
        <v>3.55</v>
      </c>
      <c r="G332" s="1384">
        <v>0.82</v>
      </c>
      <c r="H332" s="1381">
        <f t="shared" si="2"/>
        <v>0.57999999999999996</v>
      </c>
      <c r="K332" s="664"/>
      <c r="L332" s="666"/>
    </row>
    <row r="333" spans="2:12" ht="18.75" thickBot="1">
      <c r="B333" s="672"/>
      <c r="D333" s="1816" t="s">
        <v>827</v>
      </c>
      <c r="E333" s="1817"/>
      <c r="F333" s="1817"/>
      <c r="G333" s="1817"/>
      <c r="H333" s="758">
        <f>SUM(H303:H332)</f>
        <v>49.54</v>
      </c>
      <c r="K333" s="664"/>
      <c r="L333" s="666"/>
    </row>
    <row r="334" spans="2:12">
      <c r="B334" s="653"/>
      <c r="C334" s="685"/>
      <c r="K334" s="655"/>
      <c r="L334" s="656"/>
    </row>
    <row r="335" spans="2:12" s="771" customFormat="1" ht="51" customHeight="1">
      <c r="B335" s="725" t="s">
        <v>881</v>
      </c>
      <c r="C335" s="1855" t="s">
        <v>774</v>
      </c>
      <c r="D335" s="1855"/>
      <c r="E335" s="1855"/>
      <c r="F335" s="1855"/>
      <c r="G335" s="1855"/>
      <c r="H335" s="1855"/>
      <c r="I335" s="772"/>
      <c r="J335" s="772"/>
      <c r="K335" s="727" t="s">
        <v>512</v>
      </c>
      <c r="L335" s="728">
        <f>H341</f>
        <v>1192.5</v>
      </c>
    </row>
    <row r="336" spans="2:12" s="771" customFormat="1" ht="252" hidden="1" customHeight="1">
      <c r="B336" s="725"/>
      <c r="C336" s="772"/>
      <c r="D336" s="772"/>
      <c r="E336" s="772"/>
      <c r="F336" s="772"/>
      <c r="G336" s="772"/>
      <c r="H336" s="772"/>
      <c r="I336" s="772"/>
      <c r="J336" s="772"/>
      <c r="K336" s="727"/>
      <c r="L336" s="728"/>
    </row>
    <row r="337" spans="2:12" ht="13.5" thickBot="1">
      <c r="B337" s="653"/>
      <c r="C337" s="685"/>
      <c r="K337" s="655"/>
      <c r="L337" s="656"/>
    </row>
    <row r="338" spans="2:12" s="773" customFormat="1" ht="23.25" customHeight="1" thickBot="1">
      <c r="B338" s="774"/>
      <c r="C338" s="775"/>
      <c r="D338" s="1856" t="s">
        <v>882</v>
      </c>
      <c r="E338" s="1857"/>
      <c r="F338" s="1857"/>
      <c r="G338" s="1857"/>
      <c r="H338" s="1858"/>
      <c r="K338" s="776"/>
      <c r="L338" s="777"/>
    </row>
    <row r="339" spans="2:12" s="773" customFormat="1" ht="47.25" customHeight="1">
      <c r="B339" s="778"/>
      <c r="D339" s="779" t="s">
        <v>883</v>
      </c>
      <c r="E339" s="780" t="s">
        <v>884</v>
      </c>
      <c r="F339" s="1859" t="s">
        <v>885</v>
      </c>
      <c r="G339" s="1860"/>
      <c r="H339" s="781" t="s">
        <v>886</v>
      </c>
      <c r="K339" s="782"/>
      <c r="L339" s="783"/>
    </row>
    <row r="340" spans="2:12" s="784" customFormat="1" ht="23.25" customHeight="1">
      <c r="B340" s="785"/>
      <c r="C340" s="786"/>
      <c r="D340" s="1360">
        <v>25</v>
      </c>
      <c r="E340" s="1360">
        <v>10.6</v>
      </c>
      <c r="F340" s="1861">
        <v>4.5</v>
      </c>
      <c r="G340" s="1861"/>
      <c r="H340" s="787">
        <f>D340*E340*F340</f>
        <v>1192.5</v>
      </c>
      <c r="K340" s="788"/>
      <c r="L340" s="789"/>
    </row>
    <row r="341" spans="2:12" s="773" customFormat="1" ht="25.5" customHeight="1" thickBot="1">
      <c r="B341" s="778"/>
      <c r="D341" s="1862" t="s">
        <v>22</v>
      </c>
      <c r="E341" s="1863"/>
      <c r="F341" s="1863"/>
      <c r="G341" s="1863"/>
      <c r="H341" s="790">
        <f>H340</f>
        <v>1192.5</v>
      </c>
      <c r="K341" s="782"/>
      <c r="L341" s="783"/>
    </row>
    <row r="342" spans="2:12">
      <c r="B342" s="653"/>
      <c r="C342" s="685"/>
      <c r="K342" s="655"/>
      <c r="L342" s="656"/>
    </row>
    <row r="343" spans="2:12">
      <c r="B343" s="653"/>
      <c r="C343" s="685"/>
      <c r="K343" s="655"/>
      <c r="L343" s="656"/>
    </row>
    <row r="344" spans="2:12" ht="15.75">
      <c r="B344" s="721" t="s">
        <v>887</v>
      </c>
      <c r="C344" s="1771" t="s">
        <v>888</v>
      </c>
      <c r="D344" s="1771"/>
      <c r="E344" s="1771"/>
      <c r="F344" s="1771"/>
      <c r="G344" s="1771"/>
      <c r="H344" s="1771"/>
      <c r="I344" s="722"/>
      <c r="J344" s="722"/>
      <c r="K344" s="723"/>
      <c r="L344" s="724"/>
    </row>
    <row r="345" spans="2:12">
      <c r="B345" s="653"/>
      <c r="C345" s="685"/>
      <c r="K345" s="655"/>
      <c r="L345" s="656"/>
    </row>
    <row r="346" spans="2:12" ht="15.75" customHeight="1">
      <c r="B346" s="725" t="s">
        <v>889</v>
      </c>
      <c r="C346" s="1772" t="s">
        <v>890</v>
      </c>
      <c r="D346" s="1772"/>
      <c r="E346" s="1772"/>
      <c r="F346" s="1772"/>
      <c r="G346" s="1772"/>
      <c r="H346" s="1772"/>
      <c r="I346" s="726"/>
      <c r="J346" s="726"/>
    </row>
    <row r="347" spans="2:12">
      <c r="B347" s="657"/>
      <c r="C347" s="760"/>
      <c r="K347" s="668"/>
      <c r="L347" s="751"/>
    </row>
    <row r="348" spans="2:12" ht="15.4" customHeight="1">
      <c r="B348" s="657"/>
      <c r="C348" s="1864" t="s">
        <v>1638</v>
      </c>
      <c r="D348" s="1865"/>
      <c r="E348" s="1865"/>
      <c r="F348" s="1865"/>
      <c r="G348" s="1865"/>
      <c r="H348" s="1865"/>
      <c r="K348" s="1387" t="s">
        <v>933</v>
      </c>
      <c r="L348" s="1388">
        <f>H358</f>
        <v>95.8</v>
      </c>
    </row>
    <row r="349" spans="2:12" ht="15.75">
      <c r="B349" s="657"/>
      <c r="C349" s="1389"/>
      <c r="D349" s="921"/>
      <c r="E349" s="921"/>
      <c r="F349" s="921"/>
      <c r="G349" s="921"/>
      <c r="H349" s="921"/>
      <c r="K349" s="1390"/>
      <c r="L349" s="1391"/>
    </row>
    <row r="350" spans="2:12" ht="15.75">
      <c r="B350" s="657"/>
      <c r="C350" s="1389"/>
      <c r="D350" s="1866" t="s">
        <v>854</v>
      </c>
      <c r="E350" s="1866"/>
      <c r="F350" s="1866"/>
      <c r="G350" s="1866"/>
      <c r="H350" s="1866"/>
      <c r="K350" s="1390"/>
      <c r="L350" s="1391"/>
    </row>
    <row r="351" spans="2:12" ht="15.75">
      <c r="B351" s="657"/>
      <c r="C351" s="1389"/>
      <c r="D351" s="1764" t="s">
        <v>775</v>
      </c>
      <c r="E351" s="1764"/>
      <c r="F351" s="1764"/>
      <c r="G351" s="1764"/>
      <c r="H351" s="1764"/>
      <c r="K351" s="1390"/>
      <c r="L351" s="1391"/>
    </row>
    <row r="352" spans="2:12" ht="15.75">
      <c r="B352" s="657"/>
      <c r="C352" s="1389"/>
      <c r="D352" s="1766" t="s">
        <v>855</v>
      </c>
      <c r="E352" s="1766"/>
      <c r="F352" s="1357" t="s">
        <v>767</v>
      </c>
      <c r="G352" s="1357" t="s">
        <v>307</v>
      </c>
      <c r="H352" s="1357" t="s">
        <v>22</v>
      </c>
      <c r="K352" s="1390"/>
      <c r="L352" s="1391"/>
    </row>
    <row r="353" spans="2:12" ht="15.75">
      <c r="B353" s="657"/>
      <c r="C353" s="1389"/>
      <c r="D353" s="1867" t="s">
        <v>856</v>
      </c>
      <c r="E353" s="1868"/>
      <c r="F353" s="1368">
        <v>3.31</v>
      </c>
      <c r="G353" s="1367">
        <v>3.12</v>
      </c>
      <c r="H353" s="1392">
        <f>F353*G353</f>
        <v>10.33</v>
      </c>
      <c r="K353" s="1390"/>
      <c r="L353" s="1391"/>
    </row>
    <row r="354" spans="2:12" ht="15.75">
      <c r="B354" s="657"/>
      <c r="C354" s="1389"/>
      <c r="D354" s="1869" t="s">
        <v>857</v>
      </c>
      <c r="E354" s="1870"/>
      <c r="F354" s="1372">
        <v>2.83</v>
      </c>
      <c r="G354" s="1371">
        <v>3.12</v>
      </c>
      <c r="H354" s="1393">
        <f t="shared" ref="H354:H356" si="3">F354*G354</f>
        <v>8.83</v>
      </c>
      <c r="K354" s="1390"/>
      <c r="L354" s="1391"/>
    </row>
    <row r="355" spans="2:12" ht="15.75">
      <c r="B355" s="657"/>
      <c r="C355" s="1389"/>
      <c r="D355" s="1869" t="s">
        <v>858</v>
      </c>
      <c r="E355" s="1870"/>
      <c r="F355" s="1372">
        <v>2.83</v>
      </c>
      <c r="G355" s="1371">
        <v>3.12</v>
      </c>
      <c r="H355" s="1393">
        <f t="shared" si="3"/>
        <v>8.83</v>
      </c>
      <c r="K355" s="1390"/>
      <c r="L355" s="1391"/>
    </row>
    <row r="356" spans="2:12" ht="15.75">
      <c r="B356" s="657"/>
      <c r="C356" s="1389"/>
      <c r="D356" s="1871" t="s">
        <v>859</v>
      </c>
      <c r="E356" s="1872"/>
      <c r="F356" s="1376">
        <v>3.31</v>
      </c>
      <c r="G356" s="1375">
        <v>3.12</v>
      </c>
      <c r="H356" s="1394">
        <f t="shared" si="3"/>
        <v>10.33</v>
      </c>
      <c r="K356" s="1390"/>
      <c r="L356" s="1391"/>
    </row>
    <row r="357" spans="2:12" ht="15.75">
      <c r="B357" s="657"/>
      <c r="C357" s="1389"/>
      <c r="D357" s="1763" t="s">
        <v>1639</v>
      </c>
      <c r="E357" s="1763"/>
      <c r="F357" s="1763"/>
      <c r="G357" s="1763"/>
      <c r="H357" s="1365">
        <f>SUM(H353:H356)</f>
        <v>38.32</v>
      </c>
      <c r="K357" s="1390"/>
      <c r="L357" s="1391"/>
    </row>
    <row r="358" spans="2:12" ht="15.75">
      <c r="B358" s="657"/>
      <c r="C358" s="1389"/>
      <c r="D358" s="1763" t="s">
        <v>1640</v>
      </c>
      <c r="E358" s="1763"/>
      <c r="F358" s="1763"/>
      <c r="G358" s="1763"/>
      <c r="H358" s="1365">
        <f>(H357*2)*(1+$N$3)</f>
        <v>95.8</v>
      </c>
      <c r="K358" s="1390"/>
      <c r="L358" s="1391"/>
    </row>
    <row r="359" spans="2:12" ht="15.75">
      <c r="B359" s="657"/>
      <c r="C359" s="1389"/>
      <c r="D359" s="921"/>
      <c r="E359" s="921"/>
      <c r="F359" s="921"/>
      <c r="G359" s="921"/>
      <c r="H359" s="921"/>
      <c r="K359" s="1390"/>
      <c r="L359" s="1391"/>
    </row>
    <row r="360" spans="2:12" ht="15.4" customHeight="1">
      <c r="B360" s="657"/>
      <c r="C360" s="1864" t="s">
        <v>1641</v>
      </c>
      <c r="D360" s="1865"/>
      <c r="E360" s="1865"/>
      <c r="F360" s="1865"/>
      <c r="G360" s="1865"/>
      <c r="H360" s="1865"/>
      <c r="K360" s="1387" t="s">
        <v>282</v>
      </c>
      <c r="L360" s="1388">
        <f>G365</f>
        <v>1844.82</v>
      </c>
    </row>
    <row r="361" spans="2:12" ht="15.75">
      <c r="B361" s="657"/>
      <c r="C361" s="1386"/>
      <c r="D361" s="1386"/>
      <c r="E361" s="1386"/>
      <c r="F361" s="1386"/>
      <c r="G361" s="1386"/>
      <c r="H361" s="1386"/>
      <c r="K361" s="668"/>
      <c r="L361" s="751"/>
    </row>
    <row r="362" spans="2:12" ht="15.75">
      <c r="B362" s="657"/>
      <c r="C362" s="1389"/>
      <c r="D362" s="1753" t="s">
        <v>877</v>
      </c>
      <c r="E362" s="1753"/>
      <c r="F362" s="1753"/>
      <c r="G362" s="1753"/>
      <c r="H362" s="1753"/>
      <c r="K362" s="668"/>
      <c r="L362" s="751"/>
    </row>
    <row r="363" spans="2:12" ht="15.75">
      <c r="B363" s="657"/>
      <c r="C363" s="1389"/>
      <c r="D363" s="1754" t="s">
        <v>1642</v>
      </c>
      <c r="E363" s="1754"/>
      <c r="F363" s="1754"/>
      <c r="G363" s="1755">
        <f>1689.7+188.9+51.5+99.2</f>
        <v>2029.3</v>
      </c>
      <c r="H363" s="1755"/>
      <c r="K363" s="668"/>
      <c r="L363" s="751"/>
    </row>
    <row r="364" spans="2:12" ht="15.75">
      <c r="B364" s="657"/>
      <c r="C364" s="1389"/>
      <c r="D364" s="1756" t="s">
        <v>22</v>
      </c>
      <c r="E364" s="1756"/>
      <c r="F364" s="1756"/>
      <c r="G364" s="1757">
        <f>G363</f>
        <v>2029.3</v>
      </c>
      <c r="H364" s="1757"/>
      <c r="K364" s="668"/>
      <c r="L364" s="751"/>
    </row>
    <row r="365" spans="2:12" ht="15.4" customHeight="1">
      <c r="B365" s="657"/>
      <c r="C365" s="1389"/>
      <c r="D365" s="1758" t="s">
        <v>832</v>
      </c>
      <c r="E365" s="1758"/>
      <c r="F365" s="1758"/>
      <c r="G365" s="1759">
        <f>G364/1.1</f>
        <v>1844.82</v>
      </c>
      <c r="H365" s="1759"/>
      <c r="K365" s="668"/>
      <c r="L365" s="751"/>
    </row>
    <row r="366" spans="2:12">
      <c r="B366" s="657"/>
      <c r="C366" s="760"/>
      <c r="K366" s="668"/>
      <c r="L366" s="751"/>
    </row>
    <row r="367" spans="2:12">
      <c r="B367" s="657"/>
      <c r="C367" s="760"/>
      <c r="K367" s="668"/>
      <c r="L367" s="751"/>
    </row>
    <row r="368" spans="2:12" ht="15.75">
      <c r="B368" s="657"/>
      <c r="C368" s="1864" t="s">
        <v>1637</v>
      </c>
      <c r="D368" s="1865"/>
      <c r="E368" s="1865"/>
      <c r="F368" s="1865"/>
      <c r="G368" s="1865"/>
      <c r="H368" s="1865"/>
      <c r="K368" s="727" t="s">
        <v>0</v>
      </c>
      <c r="L368" s="728">
        <f>H374</f>
        <v>19.16</v>
      </c>
    </row>
    <row r="369" spans="2:12">
      <c r="B369" s="657"/>
      <c r="C369" s="760"/>
      <c r="K369" s="668"/>
      <c r="L369" s="751"/>
    </row>
    <row r="370" spans="2:12">
      <c r="B370" s="657"/>
      <c r="C370" s="760"/>
      <c r="K370" s="668"/>
      <c r="L370" s="751"/>
    </row>
    <row r="371" spans="2:12" ht="15.75">
      <c r="B371" s="657"/>
      <c r="D371" s="1773" t="s">
        <v>891</v>
      </c>
      <c r="E371" s="1774"/>
      <c r="F371" s="1774"/>
      <c r="G371" s="1774"/>
      <c r="H371" s="1775"/>
      <c r="K371" s="664"/>
      <c r="L371" s="666"/>
    </row>
    <row r="372" spans="2:12" ht="15.75">
      <c r="B372" s="672"/>
      <c r="D372" s="1853" t="s">
        <v>892</v>
      </c>
      <c r="E372" s="1854"/>
      <c r="F372" s="791" t="s">
        <v>768</v>
      </c>
      <c r="G372" s="791" t="s">
        <v>761</v>
      </c>
      <c r="H372" s="791" t="s">
        <v>886</v>
      </c>
      <c r="K372" s="664"/>
      <c r="L372" s="666"/>
    </row>
    <row r="373" spans="2:12" ht="15">
      <c r="B373" s="672"/>
      <c r="C373" s="673"/>
      <c r="D373" s="1754">
        <f>H357</f>
        <v>38.32</v>
      </c>
      <c r="E373" s="1754"/>
      <c r="F373" s="1360">
        <v>0.25</v>
      </c>
      <c r="G373" s="1385">
        <v>2</v>
      </c>
      <c r="H373" s="792">
        <f>D373*F373*G373</f>
        <v>19.16</v>
      </c>
      <c r="K373" s="664"/>
      <c r="L373" s="666"/>
    </row>
    <row r="374" spans="2:12" ht="18">
      <c r="B374" s="672"/>
      <c r="D374" s="1822" t="s">
        <v>22</v>
      </c>
      <c r="E374" s="1823"/>
      <c r="F374" s="1823"/>
      <c r="G374" s="1823"/>
      <c r="H374" s="793">
        <f>H373</f>
        <v>19.16</v>
      </c>
      <c r="K374" s="664"/>
      <c r="L374" s="666"/>
    </row>
    <row r="375" spans="2:12">
      <c r="B375" s="672"/>
      <c r="K375" s="664"/>
      <c r="L375" s="666"/>
    </row>
    <row r="376" spans="2:12" ht="15.75">
      <c r="B376" s="721" t="s">
        <v>893</v>
      </c>
      <c r="C376" s="1771" t="s">
        <v>769</v>
      </c>
      <c r="D376" s="1771"/>
      <c r="E376" s="1771"/>
      <c r="F376" s="1771"/>
      <c r="G376" s="1771"/>
      <c r="H376" s="1771"/>
      <c r="I376" s="722"/>
      <c r="J376" s="722"/>
      <c r="K376" s="723"/>
      <c r="L376" s="724"/>
    </row>
    <row r="377" spans="2:12">
      <c r="B377" s="653"/>
      <c r="C377" s="685"/>
      <c r="K377" s="655"/>
      <c r="L377" s="656"/>
    </row>
    <row r="378" spans="2:12" ht="15.75" customHeight="1">
      <c r="B378" s="725" t="s">
        <v>894</v>
      </c>
      <c r="C378" s="1772" t="s">
        <v>895</v>
      </c>
      <c r="D378" s="1772"/>
      <c r="E378" s="1772"/>
      <c r="F378" s="1772"/>
      <c r="G378" s="1772"/>
      <c r="H378" s="1772"/>
      <c r="I378" s="726"/>
      <c r="J378" s="726"/>
      <c r="K378" s="727" t="s">
        <v>3</v>
      </c>
      <c r="L378" s="728">
        <f>G405</f>
        <v>576</v>
      </c>
    </row>
    <row r="379" spans="2:12" ht="13.5" thickBot="1">
      <c r="B379" s="653"/>
      <c r="C379" s="685"/>
      <c r="K379" s="655"/>
      <c r="L379" s="656"/>
    </row>
    <row r="380" spans="2:12" hidden="1">
      <c r="B380" s="669"/>
      <c r="C380" s="670"/>
      <c r="K380" s="660"/>
      <c r="L380" s="661"/>
    </row>
    <row r="381" spans="2:12" hidden="1">
      <c r="B381" s="669"/>
      <c r="C381" s="670"/>
      <c r="K381" s="660"/>
      <c r="L381" s="661"/>
    </row>
    <row r="382" spans="2:12" hidden="1">
      <c r="B382" s="669"/>
      <c r="C382" s="670"/>
      <c r="K382" s="660"/>
      <c r="L382" s="661"/>
    </row>
    <row r="383" spans="2:12" hidden="1">
      <c r="B383" s="669"/>
      <c r="C383" s="670"/>
      <c r="K383" s="660"/>
      <c r="L383" s="661"/>
    </row>
    <row r="384" spans="2:12" hidden="1">
      <c r="B384" s="669"/>
      <c r="C384" s="670"/>
      <c r="K384" s="660"/>
      <c r="L384" s="661"/>
    </row>
    <row r="385" spans="2:12" hidden="1">
      <c r="B385" s="669"/>
      <c r="C385" s="670"/>
      <c r="K385" s="660"/>
      <c r="L385" s="661"/>
    </row>
    <row r="386" spans="2:12" hidden="1">
      <c r="B386" s="669"/>
      <c r="C386" s="670"/>
      <c r="K386" s="660"/>
      <c r="L386" s="661"/>
    </row>
    <row r="387" spans="2:12" hidden="1">
      <c r="B387" s="669"/>
      <c r="C387" s="670"/>
      <c r="K387" s="660"/>
      <c r="L387" s="661"/>
    </row>
    <row r="388" spans="2:12" hidden="1">
      <c r="B388" s="669"/>
      <c r="C388" s="670"/>
      <c r="K388" s="660"/>
      <c r="L388" s="661"/>
    </row>
    <row r="389" spans="2:12" hidden="1">
      <c r="B389" s="669"/>
      <c r="C389" s="670"/>
      <c r="K389" s="660"/>
      <c r="L389" s="661"/>
    </row>
    <row r="390" spans="2:12" hidden="1">
      <c r="B390" s="669"/>
      <c r="C390" s="670"/>
      <c r="K390" s="660"/>
      <c r="L390" s="661"/>
    </row>
    <row r="391" spans="2:12" hidden="1">
      <c r="B391" s="669"/>
      <c r="C391" s="670"/>
      <c r="K391" s="660"/>
      <c r="L391" s="661"/>
    </row>
    <row r="392" spans="2:12" hidden="1">
      <c r="B392" s="669"/>
      <c r="C392" s="670"/>
      <c r="K392" s="660"/>
      <c r="L392" s="661"/>
    </row>
    <row r="393" spans="2:12" hidden="1">
      <c r="B393" s="669"/>
      <c r="C393" s="670"/>
      <c r="K393" s="660"/>
      <c r="L393" s="661"/>
    </row>
    <row r="394" spans="2:12" hidden="1">
      <c r="B394" s="669"/>
      <c r="C394" s="670"/>
      <c r="K394" s="660"/>
      <c r="L394" s="661"/>
    </row>
    <row r="395" spans="2:12" hidden="1">
      <c r="B395" s="669"/>
      <c r="C395" s="670"/>
      <c r="K395" s="660"/>
      <c r="L395" s="661"/>
    </row>
    <row r="396" spans="2:12" hidden="1">
      <c r="B396" s="669"/>
      <c r="C396" s="670"/>
      <c r="K396" s="660"/>
      <c r="L396" s="661"/>
    </row>
    <row r="397" spans="2:12" hidden="1">
      <c r="B397" s="669"/>
      <c r="C397" s="670"/>
      <c r="K397" s="660"/>
      <c r="L397" s="661"/>
    </row>
    <row r="398" spans="2:12" hidden="1">
      <c r="B398" s="669"/>
      <c r="C398" s="670"/>
      <c r="K398" s="660"/>
      <c r="L398" s="661"/>
    </row>
    <row r="399" spans="2:12" hidden="1">
      <c r="B399" s="669"/>
      <c r="C399" s="670"/>
      <c r="K399" s="660"/>
      <c r="L399" s="661"/>
    </row>
    <row r="400" spans="2:12" hidden="1">
      <c r="B400" s="669"/>
      <c r="C400" s="670"/>
      <c r="K400" s="660"/>
      <c r="L400" s="661"/>
    </row>
    <row r="401" spans="2:12" ht="13.5" hidden="1" thickBot="1">
      <c r="B401" s="669"/>
      <c r="C401" s="670"/>
      <c r="K401" s="660"/>
      <c r="L401" s="661"/>
    </row>
    <row r="402" spans="2:12" ht="18">
      <c r="B402" s="669"/>
      <c r="C402" s="1796"/>
      <c r="D402" s="1878" t="s">
        <v>770</v>
      </c>
      <c r="E402" s="1879"/>
      <c r="F402" s="1879"/>
      <c r="G402" s="1880" t="s">
        <v>815</v>
      </c>
      <c r="H402" s="1881"/>
      <c r="K402" s="660"/>
      <c r="L402" s="661"/>
    </row>
    <row r="403" spans="2:12" ht="15.75">
      <c r="B403" s="669"/>
      <c r="C403" s="1796"/>
      <c r="D403" s="1883" t="s">
        <v>818</v>
      </c>
      <c r="E403" s="1799"/>
      <c r="F403" s="729" t="s">
        <v>816</v>
      </c>
      <c r="G403" s="1798"/>
      <c r="H403" s="1882"/>
      <c r="K403" s="660"/>
      <c r="L403" s="661"/>
    </row>
    <row r="404" spans="2:12" ht="18.75" thickBot="1">
      <c r="B404" s="669"/>
      <c r="C404" s="673"/>
      <c r="D404" s="1884">
        <v>48</v>
      </c>
      <c r="E404" s="1885"/>
      <c r="F404" s="794">
        <v>12</v>
      </c>
      <c r="G404" s="1886" t="s">
        <v>896</v>
      </c>
      <c r="H404" s="1887"/>
      <c r="K404" s="660"/>
      <c r="L404" s="661"/>
    </row>
    <row r="405" spans="2:12" ht="18.75" thickBot="1">
      <c r="B405" s="672"/>
      <c r="D405" s="1873" t="s">
        <v>897</v>
      </c>
      <c r="E405" s="1874"/>
      <c r="F405" s="1875"/>
      <c r="G405" s="1876">
        <f>F404*D404</f>
        <v>576</v>
      </c>
      <c r="H405" s="1877"/>
      <c r="K405" s="662"/>
      <c r="L405" s="663"/>
    </row>
    <row r="406" spans="2:12">
      <c r="B406" s="672"/>
      <c r="C406" s="671"/>
      <c r="K406" s="662"/>
      <c r="L406" s="663"/>
    </row>
    <row r="407" spans="2:12" ht="19.5" customHeight="1">
      <c r="B407" s="725" t="s">
        <v>898</v>
      </c>
      <c r="C407" s="1772" t="s">
        <v>806</v>
      </c>
      <c r="D407" s="1772"/>
      <c r="E407" s="1772"/>
      <c r="F407" s="1772"/>
      <c r="G407" s="1772"/>
      <c r="H407" s="1772"/>
      <c r="I407" s="726"/>
      <c r="J407" s="726"/>
      <c r="K407" s="727" t="s">
        <v>807</v>
      </c>
      <c r="L407" s="728">
        <v>1</v>
      </c>
    </row>
    <row r="408" spans="2:12">
      <c r="B408" s="759"/>
      <c r="K408" s="680"/>
      <c r="L408" s="681"/>
    </row>
    <row r="409" spans="2:12" ht="15.75">
      <c r="B409" s="721" t="s">
        <v>899</v>
      </c>
      <c r="C409" s="1771" t="s">
        <v>808</v>
      </c>
      <c r="D409" s="1771"/>
      <c r="E409" s="1771"/>
      <c r="F409" s="1771"/>
      <c r="G409" s="1771"/>
      <c r="H409" s="1771"/>
      <c r="I409" s="722"/>
      <c r="J409" s="722"/>
      <c r="K409" s="723"/>
      <c r="L409" s="724"/>
    </row>
    <row r="410" spans="2:12">
      <c r="B410" s="749"/>
      <c r="L410" s="751"/>
    </row>
    <row r="411" spans="2:12" ht="15.75" customHeight="1">
      <c r="B411" s="725" t="s">
        <v>900</v>
      </c>
      <c r="C411" s="1772" t="s">
        <v>819</v>
      </c>
      <c r="D411" s="1772"/>
      <c r="E411" s="1772"/>
      <c r="F411" s="1772"/>
      <c r="G411" s="1772"/>
      <c r="H411" s="1772"/>
      <c r="I411" s="726"/>
      <c r="J411" s="726"/>
      <c r="K411" s="727" t="s">
        <v>2</v>
      </c>
      <c r="L411" s="728">
        <f>H420</f>
        <v>236.78</v>
      </c>
    </row>
    <row r="412" spans="2:12" ht="16.5" thickBot="1">
      <c r="B412" s="749"/>
      <c r="K412" s="764"/>
      <c r="L412" s="751"/>
    </row>
    <row r="413" spans="2:12" ht="16.5" thickBot="1">
      <c r="B413" s="672"/>
      <c r="D413" s="1830" t="s">
        <v>901</v>
      </c>
      <c r="E413" s="1831"/>
      <c r="F413" s="1831"/>
      <c r="G413" s="1831"/>
      <c r="H413" s="1832"/>
      <c r="K413" s="664"/>
      <c r="L413" s="666"/>
    </row>
    <row r="414" spans="2:12" ht="15.75">
      <c r="B414" s="672"/>
      <c r="D414" s="1896" t="s">
        <v>902</v>
      </c>
      <c r="E414" s="1897"/>
      <c r="F414" s="1897"/>
      <c r="G414" s="1897"/>
      <c r="H414" s="1898"/>
      <c r="K414" s="664"/>
      <c r="L414" s="666"/>
    </row>
    <row r="415" spans="2:12" ht="15.75">
      <c r="B415" s="672"/>
      <c r="D415" s="1899" t="s">
        <v>903</v>
      </c>
      <c r="E415" s="1900"/>
      <c r="F415" s="1854"/>
      <c r="G415" s="791" t="s">
        <v>768</v>
      </c>
      <c r="H415" s="796" t="s">
        <v>886</v>
      </c>
      <c r="K415" s="664"/>
      <c r="L415" s="666"/>
    </row>
    <row r="416" spans="2:12" ht="15">
      <c r="B416" s="672"/>
      <c r="C416" s="673"/>
      <c r="D416" s="1901" t="s">
        <v>1643</v>
      </c>
      <c r="E416" s="1902"/>
      <c r="F416" s="1396">
        <f>7.95+7.95+0.3+0.3</f>
        <v>16.5</v>
      </c>
      <c r="G416" s="1385">
        <v>5.74</v>
      </c>
      <c r="H416" s="797">
        <f>F416*G416</f>
        <v>94.71</v>
      </c>
      <c r="K416" s="664"/>
      <c r="L416" s="666"/>
    </row>
    <row r="417" spans="2:16" ht="15.75">
      <c r="B417" s="672"/>
      <c r="C417" s="673"/>
      <c r="D417" s="1903" t="s">
        <v>904</v>
      </c>
      <c r="E417" s="1769"/>
      <c r="F417" s="1769"/>
      <c r="G417" s="1769"/>
      <c r="H417" s="1904"/>
      <c r="K417" s="664"/>
      <c r="L417" s="666"/>
    </row>
    <row r="418" spans="2:16" ht="15.75">
      <c r="B418" s="672"/>
      <c r="C418" s="673"/>
      <c r="D418" s="1899" t="s">
        <v>903</v>
      </c>
      <c r="E418" s="1900"/>
      <c r="F418" s="1854"/>
      <c r="G418" s="791" t="s">
        <v>768</v>
      </c>
      <c r="H418" s="796" t="s">
        <v>886</v>
      </c>
      <c r="K418" s="664"/>
      <c r="L418" s="666"/>
    </row>
    <row r="419" spans="2:16" ht="15.75" thickBot="1">
      <c r="B419" s="672"/>
      <c r="C419" s="673"/>
      <c r="D419" s="1901" t="s">
        <v>1643</v>
      </c>
      <c r="E419" s="1902"/>
      <c r="F419" s="1396">
        <f>7.95+7.95+0.3+0.3</f>
        <v>16.5</v>
      </c>
      <c r="G419" s="1385">
        <v>5.74</v>
      </c>
      <c r="H419" s="797">
        <f>F419*G419</f>
        <v>94.71</v>
      </c>
      <c r="K419" s="664"/>
      <c r="L419" s="666"/>
    </row>
    <row r="420" spans="2:16" ht="18.75" thickBot="1">
      <c r="B420" s="672"/>
      <c r="D420" s="1888" t="s">
        <v>22</v>
      </c>
      <c r="E420" s="1889"/>
      <c r="F420" s="1889"/>
      <c r="G420" s="1890"/>
      <c r="H420" s="798">
        <f>(H416+H419)*(1+$N$3)</f>
        <v>236.78</v>
      </c>
      <c r="K420" s="664"/>
      <c r="L420" s="666"/>
    </row>
    <row r="421" spans="2:16">
      <c r="B421" s="672"/>
      <c r="C421" s="671"/>
      <c r="K421" s="664"/>
      <c r="L421" s="676"/>
    </row>
    <row r="422" spans="2:16">
      <c r="B422" s="672"/>
      <c r="C422" s="799"/>
      <c r="K422" s="664"/>
      <c r="L422" s="666"/>
    </row>
    <row r="423" spans="2:16" ht="33.75" customHeight="1">
      <c r="B423" s="725" t="s">
        <v>905</v>
      </c>
      <c r="C423" s="1772" t="s">
        <v>844</v>
      </c>
      <c r="D423" s="1772"/>
      <c r="E423" s="1772"/>
      <c r="F423" s="1772"/>
      <c r="G423" s="1772"/>
      <c r="H423" s="1772"/>
      <c r="I423" s="726"/>
      <c r="J423" s="726"/>
      <c r="K423" s="727" t="s">
        <v>791</v>
      </c>
      <c r="L423" s="728">
        <f>G428</f>
        <v>825.2</v>
      </c>
    </row>
    <row r="424" spans="2:16" ht="13.5" thickBot="1">
      <c r="B424" s="749"/>
      <c r="C424" s="760"/>
      <c r="K424" s="658"/>
      <c r="L424" s="659"/>
    </row>
    <row r="425" spans="2:16" ht="16.5" thickBot="1">
      <c r="B425" s="672"/>
      <c r="D425" s="1830" t="s">
        <v>906</v>
      </c>
      <c r="E425" s="1831"/>
      <c r="F425" s="1831"/>
      <c r="G425" s="1831"/>
      <c r="H425" s="1832"/>
      <c r="K425" s="664"/>
      <c r="L425" s="666"/>
    </row>
    <row r="426" spans="2:16" s="800" customFormat="1" ht="24.75" customHeight="1">
      <c r="B426" s="801"/>
      <c r="C426" s="802"/>
      <c r="D426" s="1754" t="s">
        <v>907</v>
      </c>
      <c r="E426" s="1754"/>
      <c r="F426" s="1754"/>
      <c r="G426" s="1755">
        <v>907.72</v>
      </c>
      <c r="H426" s="1755"/>
      <c r="K426" s="803"/>
      <c r="L426" s="804"/>
      <c r="O426" s="1804" t="s">
        <v>831</v>
      </c>
      <c r="P426" s="1804"/>
    </row>
    <row r="427" spans="2:16" ht="18.75" thickBot="1">
      <c r="B427" s="672"/>
      <c r="D427" s="1891" t="s">
        <v>22</v>
      </c>
      <c r="E427" s="1892"/>
      <c r="F427" s="1893"/>
      <c r="G427" s="1894">
        <f>G426</f>
        <v>907.72</v>
      </c>
      <c r="H427" s="1895"/>
      <c r="K427" s="664"/>
      <c r="L427" s="666"/>
      <c r="O427" s="1804"/>
      <c r="P427" s="1804"/>
    </row>
    <row r="428" spans="2:16" s="734" customFormat="1" ht="24.75" customHeight="1">
      <c r="B428" s="735"/>
      <c r="D428" s="1810" t="s">
        <v>832</v>
      </c>
      <c r="E428" s="1810"/>
      <c r="F428" s="1810"/>
      <c r="G428" s="1811">
        <f>G427/1.1</f>
        <v>825.2</v>
      </c>
      <c r="H428" s="1811"/>
      <c r="K428" s="737"/>
      <c r="L428" s="738"/>
      <c r="N428" s="740"/>
      <c r="O428" s="740"/>
    </row>
    <row r="429" spans="2:16">
      <c r="B429" s="672"/>
      <c r="C429" s="671"/>
      <c r="K429" s="664"/>
      <c r="L429" s="676"/>
    </row>
    <row r="430" spans="2:16">
      <c r="B430" s="672"/>
      <c r="C430" s="671"/>
      <c r="K430" s="664"/>
      <c r="L430" s="676"/>
    </row>
    <row r="431" spans="2:16" ht="15.75" customHeight="1">
      <c r="B431" s="725" t="s">
        <v>908</v>
      </c>
      <c r="C431" s="1772" t="s">
        <v>833</v>
      </c>
      <c r="D431" s="1772"/>
      <c r="E431" s="1772"/>
      <c r="F431" s="1772"/>
      <c r="G431" s="1772"/>
      <c r="H431" s="1772"/>
      <c r="I431" s="726"/>
      <c r="J431" s="726"/>
      <c r="K431" s="727" t="s">
        <v>0</v>
      </c>
      <c r="L431" s="728">
        <f>H440</f>
        <v>27.38</v>
      </c>
    </row>
    <row r="432" spans="2:16" ht="13.5" thickBot="1">
      <c r="B432" s="749"/>
      <c r="C432" s="760"/>
      <c r="K432" s="658"/>
      <c r="L432" s="659"/>
    </row>
    <row r="433" spans="2:12" ht="16.5" thickBot="1">
      <c r="B433" s="672"/>
      <c r="D433" s="1830" t="s">
        <v>909</v>
      </c>
      <c r="E433" s="1831"/>
      <c r="F433" s="1831"/>
      <c r="G433" s="1831"/>
      <c r="H433" s="1832"/>
      <c r="K433" s="664"/>
      <c r="L433" s="666"/>
    </row>
    <row r="434" spans="2:12" ht="15.75">
      <c r="B434" s="672"/>
      <c r="D434" s="1896" t="s">
        <v>902</v>
      </c>
      <c r="E434" s="1897"/>
      <c r="F434" s="1897"/>
      <c r="G434" s="1897"/>
      <c r="H434" s="1898"/>
      <c r="K434" s="664"/>
      <c r="L434" s="666"/>
    </row>
    <row r="435" spans="2:12" ht="15.75">
      <c r="B435" s="672"/>
      <c r="D435" s="805" t="s">
        <v>767</v>
      </c>
      <c r="E435" s="1905" t="s">
        <v>768</v>
      </c>
      <c r="F435" s="1905"/>
      <c r="G435" s="791" t="s">
        <v>307</v>
      </c>
      <c r="H435" s="796" t="s">
        <v>886</v>
      </c>
      <c r="K435" s="664"/>
      <c r="L435" s="666"/>
    </row>
    <row r="436" spans="2:12" ht="15">
      <c r="B436" s="672"/>
      <c r="C436" s="673"/>
      <c r="D436" s="1360">
        <v>7.95</v>
      </c>
      <c r="E436" s="1754">
        <v>5.74</v>
      </c>
      <c r="F436" s="1754"/>
      <c r="G436" s="1360">
        <v>0.3</v>
      </c>
      <c r="H436" s="797">
        <f>D436*E436*G436</f>
        <v>13.69</v>
      </c>
      <c r="K436" s="664"/>
      <c r="L436" s="666"/>
    </row>
    <row r="437" spans="2:12" ht="15.75">
      <c r="B437" s="672"/>
      <c r="C437" s="673"/>
      <c r="D437" s="1903" t="s">
        <v>904</v>
      </c>
      <c r="E437" s="1769"/>
      <c r="F437" s="1769"/>
      <c r="G437" s="1769"/>
      <c r="H437" s="1904"/>
      <c r="K437" s="664"/>
      <c r="L437" s="666"/>
    </row>
    <row r="438" spans="2:12" ht="15.75">
      <c r="B438" s="672"/>
      <c r="C438" s="673"/>
      <c r="D438" s="805" t="s">
        <v>767</v>
      </c>
      <c r="E438" s="1905" t="s">
        <v>768</v>
      </c>
      <c r="F438" s="1905"/>
      <c r="G438" s="791" t="s">
        <v>307</v>
      </c>
      <c r="H438" s="796" t="s">
        <v>886</v>
      </c>
      <c r="K438" s="664"/>
      <c r="L438" s="666"/>
    </row>
    <row r="439" spans="2:12" ht="15.75" thickBot="1">
      <c r="B439" s="672"/>
      <c r="C439" s="673"/>
      <c r="D439" s="1360">
        <v>7.95</v>
      </c>
      <c r="E439" s="1754">
        <v>5.74</v>
      </c>
      <c r="F439" s="1754"/>
      <c r="G439" s="1360">
        <v>0.3</v>
      </c>
      <c r="H439" s="806">
        <f>D439*E439*G439</f>
        <v>13.69</v>
      </c>
      <c r="K439" s="664"/>
      <c r="L439" s="666"/>
    </row>
    <row r="440" spans="2:12" ht="18.75" thickBot="1">
      <c r="B440" s="672"/>
      <c r="D440" s="1888" t="s">
        <v>22</v>
      </c>
      <c r="E440" s="1889"/>
      <c r="F440" s="1889"/>
      <c r="G440" s="1889"/>
      <c r="H440" s="798">
        <f>H436+H439</f>
        <v>27.38</v>
      </c>
      <c r="K440" s="664"/>
      <c r="L440" s="666"/>
    </row>
    <row r="441" spans="2:12">
      <c r="B441" s="672"/>
      <c r="C441" s="671"/>
      <c r="K441" s="664"/>
      <c r="L441" s="676"/>
    </row>
    <row r="442" spans="2:12" ht="15.75">
      <c r="B442" s="721" t="s">
        <v>910</v>
      </c>
      <c r="C442" s="1771" t="s">
        <v>911</v>
      </c>
      <c r="D442" s="1771"/>
      <c r="E442" s="1771"/>
      <c r="F442" s="1771"/>
      <c r="G442" s="1771"/>
      <c r="H442" s="1771"/>
      <c r="I442" s="722"/>
      <c r="J442" s="722"/>
      <c r="K442" s="723"/>
      <c r="L442" s="724"/>
    </row>
    <row r="443" spans="2:12">
      <c r="B443" s="749"/>
      <c r="L443" s="751"/>
    </row>
    <row r="444" spans="2:12" ht="15.75" customHeight="1">
      <c r="B444" s="725" t="s">
        <v>912</v>
      </c>
      <c r="C444" s="1772" t="s">
        <v>819</v>
      </c>
      <c r="D444" s="1772"/>
      <c r="E444" s="1772"/>
      <c r="F444" s="1772"/>
      <c r="G444" s="1772"/>
      <c r="H444" s="1772"/>
      <c r="I444" s="726"/>
      <c r="J444" s="726"/>
      <c r="K444" s="727" t="s">
        <v>2</v>
      </c>
      <c r="L444" s="728">
        <f>H475</f>
        <v>324.3</v>
      </c>
    </row>
    <row r="445" spans="2:12" ht="69.75" hidden="1" customHeight="1">
      <c r="B445" s="672"/>
      <c r="K445" s="764"/>
      <c r="L445" s="751"/>
    </row>
    <row r="446" spans="2:12" ht="15.75" hidden="1">
      <c r="B446" s="672"/>
      <c r="K446" s="764"/>
      <c r="L446" s="751"/>
    </row>
    <row r="447" spans="2:12" ht="15.75" hidden="1">
      <c r="B447" s="672"/>
      <c r="K447" s="764"/>
      <c r="L447" s="751"/>
    </row>
    <row r="448" spans="2:12" ht="15.75" hidden="1">
      <c r="B448" s="672"/>
      <c r="K448" s="764"/>
      <c r="L448" s="751"/>
    </row>
    <row r="449" spans="2:12" ht="15.75" hidden="1">
      <c r="B449" s="672"/>
      <c r="K449" s="764"/>
      <c r="L449" s="751"/>
    </row>
    <row r="450" spans="2:12" ht="15.75" hidden="1">
      <c r="B450" s="672"/>
      <c r="K450" s="764"/>
      <c r="L450" s="751"/>
    </row>
    <row r="451" spans="2:12" ht="15.75" hidden="1">
      <c r="B451" s="672"/>
      <c r="K451" s="764"/>
      <c r="L451" s="751"/>
    </row>
    <row r="452" spans="2:12" ht="15.75" hidden="1">
      <c r="B452" s="672"/>
      <c r="K452" s="764"/>
      <c r="L452" s="751"/>
    </row>
    <row r="453" spans="2:12" ht="15.75" hidden="1">
      <c r="B453" s="672"/>
      <c r="K453" s="764"/>
      <c r="L453" s="751"/>
    </row>
    <row r="454" spans="2:12" ht="15.75" hidden="1">
      <c r="B454" s="672"/>
      <c r="K454" s="764"/>
      <c r="L454" s="751"/>
    </row>
    <row r="455" spans="2:12" ht="15.75" hidden="1">
      <c r="B455" s="672"/>
      <c r="K455" s="764"/>
      <c r="L455" s="751"/>
    </row>
    <row r="456" spans="2:12" ht="15.75" hidden="1">
      <c r="B456" s="672"/>
      <c r="K456" s="764"/>
      <c r="L456" s="751"/>
    </row>
    <row r="457" spans="2:12" ht="15.75" hidden="1">
      <c r="B457" s="672"/>
      <c r="K457" s="764"/>
      <c r="L457" s="751"/>
    </row>
    <row r="458" spans="2:12" ht="15.75" hidden="1">
      <c r="B458" s="672"/>
      <c r="K458" s="764"/>
      <c r="L458" s="751"/>
    </row>
    <row r="459" spans="2:12" ht="15.75" hidden="1">
      <c r="B459" s="672"/>
      <c r="K459" s="764"/>
      <c r="L459" s="751"/>
    </row>
    <row r="460" spans="2:12" ht="15.75" hidden="1">
      <c r="B460" s="672"/>
      <c r="K460" s="764"/>
      <c r="L460" s="751"/>
    </row>
    <row r="461" spans="2:12" ht="15.75" hidden="1">
      <c r="B461" s="672"/>
      <c r="K461" s="764"/>
      <c r="L461" s="751"/>
    </row>
    <row r="462" spans="2:12" ht="15.75" hidden="1">
      <c r="B462" s="672"/>
      <c r="K462" s="764"/>
      <c r="L462" s="751"/>
    </row>
    <row r="463" spans="2:12" ht="15.75" hidden="1">
      <c r="B463" s="672"/>
      <c r="K463" s="764"/>
      <c r="L463" s="751"/>
    </row>
    <row r="464" spans="2:12" ht="15.75" hidden="1">
      <c r="B464" s="672"/>
      <c r="K464" s="764"/>
      <c r="L464" s="751"/>
    </row>
    <row r="465" spans="2:12" ht="15.75" hidden="1">
      <c r="B465" s="672"/>
      <c r="K465" s="764"/>
      <c r="L465" s="751"/>
    </row>
    <row r="466" spans="2:12" ht="15.75" hidden="1">
      <c r="B466" s="672"/>
      <c r="K466" s="764"/>
      <c r="L466" s="751"/>
    </row>
    <row r="467" spans="2:12" ht="16.5" thickBot="1">
      <c r="B467" s="672"/>
      <c r="K467" s="764"/>
      <c r="L467" s="751"/>
    </row>
    <row r="468" spans="2:12" ht="16.5" thickBot="1">
      <c r="B468" s="672"/>
      <c r="D468" s="1830" t="s">
        <v>913</v>
      </c>
      <c r="E468" s="1831"/>
      <c r="F468" s="1831"/>
      <c r="G468" s="1831"/>
      <c r="H468" s="1832"/>
      <c r="K468" s="664"/>
      <c r="L468" s="666"/>
    </row>
    <row r="469" spans="2:12" ht="15.75">
      <c r="B469" s="672"/>
      <c r="D469" s="1896" t="s">
        <v>902</v>
      </c>
      <c r="E469" s="1897"/>
      <c r="F469" s="1897"/>
      <c r="G469" s="1897"/>
      <c r="H469" s="1898"/>
      <c r="K469" s="664"/>
      <c r="L469" s="666"/>
    </row>
    <row r="470" spans="2:12" ht="15.75">
      <c r="B470" s="672"/>
      <c r="D470" s="1899" t="s">
        <v>903</v>
      </c>
      <c r="E470" s="1900"/>
      <c r="F470" s="791" t="s">
        <v>768</v>
      </c>
      <c r="G470" s="791" t="s">
        <v>761</v>
      </c>
      <c r="H470" s="796" t="s">
        <v>886</v>
      </c>
      <c r="K470" s="664"/>
      <c r="L470" s="666"/>
    </row>
    <row r="471" spans="2:12" ht="15">
      <c r="B471" s="672"/>
      <c r="C471" s="673"/>
      <c r="D471" s="1397" t="s">
        <v>1644</v>
      </c>
      <c r="E471" s="1396">
        <f>5.35+5.35+0.3+0.3</f>
        <v>11.3</v>
      </c>
      <c r="F471" s="1385">
        <v>5.74</v>
      </c>
      <c r="G471" s="1398">
        <v>2</v>
      </c>
      <c r="H471" s="797">
        <f>F471*G471*E471</f>
        <v>129.72</v>
      </c>
      <c r="K471" s="664"/>
      <c r="L471" s="666"/>
    </row>
    <row r="472" spans="2:12" ht="15.75">
      <c r="B472" s="672"/>
      <c r="C472" s="673"/>
      <c r="D472" s="1903" t="s">
        <v>904</v>
      </c>
      <c r="E472" s="1769"/>
      <c r="F472" s="1769"/>
      <c r="G472" s="1769"/>
      <c r="H472" s="1904"/>
      <c r="K472" s="664"/>
      <c r="L472" s="666"/>
    </row>
    <row r="473" spans="2:12" ht="15.75">
      <c r="B473" s="672"/>
      <c r="C473" s="673"/>
      <c r="D473" s="1899" t="s">
        <v>903</v>
      </c>
      <c r="E473" s="1900"/>
      <c r="F473" s="791" t="s">
        <v>768</v>
      </c>
      <c r="G473" s="791" t="s">
        <v>761</v>
      </c>
      <c r="H473" s="796" t="s">
        <v>886</v>
      </c>
      <c r="K473" s="664"/>
      <c r="L473" s="666"/>
    </row>
    <row r="474" spans="2:12" ht="15.75" thickBot="1">
      <c r="B474" s="672"/>
      <c r="C474" s="673"/>
      <c r="D474" s="1397" t="s">
        <v>1644</v>
      </c>
      <c r="E474" s="1396">
        <f>5.35+5.35+0.3+0.3</f>
        <v>11.3</v>
      </c>
      <c r="F474" s="1385">
        <v>5.74</v>
      </c>
      <c r="G474" s="1398">
        <v>2</v>
      </c>
      <c r="H474" s="797">
        <f>F474*G474*E474</f>
        <v>129.72</v>
      </c>
      <c r="K474" s="664"/>
      <c r="L474" s="666"/>
    </row>
    <row r="475" spans="2:12" ht="18.75" thickBot="1">
      <c r="B475" s="672"/>
      <c r="D475" s="1888" t="s">
        <v>22</v>
      </c>
      <c r="E475" s="1889"/>
      <c r="F475" s="1889"/>
      <c r="G475" s="1890"/>
      <c r="H475" s="798">
        <f>(H471+H474)*(1+$N$3)</f>
        <v>324.3</v>
      </c>
      <c r="K475" s="664"/>
      <c r="L475" s="666"/>
    </row>
    <row r="476" spans="2:12">
      <c r="B476" s="672"/>
      <c r="C476" s="671"/>
      <c r="K476" s="664"/>
      <c r="L476" s="676"/>
    </row>
    <row r="477" spans="2:12">
      <c r="B477" s="672"/>
      <c r="C477" s="799"/>
      <c r="K477" s="664"/>
      <c r="L477" s="666"/>
    </row>
    <row r="478" spans="2:12" ht="33" customHeight="1">
      <c r="B478" s="725" t="s">
        <v>914</v>
      </c>
      <c r="C478" s="1772" t="s">
        <v>844</v>
      </c>
      <c r="D478" s="1772"/>
      <c r="E478" s="1772"/>
      <c r="F478" s="1772"/>
      <c r="G478" s="1772"/>
      <c r="H478" s="1772"/>
      <c r="I478" s="726"/>
      <c r="J478" s="726"/>
      <c r="K478" s="727" t="s">
        <v>791</v>
      </c>
      <c r="L478" s="728">
        <f>G484</f>
        <v>1155.6600000000001</v>
      </c>
    </row>
    <row r="479" spans="2:12" ht="3.4" customHeight="1">
      <c r="B479" s="725"/>
      <c r="C479" s="726"/>
      <c r="D479" s="726"/>
      <c r="E479" s="726"/>
      <c r="F479" s="726"/>
      <c r="G479" s="726"/>
      <c r="H479" s="726"/>
      <c r="I479" s="726"/>
      <c r="J479" s="726"/>
      <c r="K479" s="727"/>
      <c r="L479" s="728"/>
    </row>
    <row r="480" spans="2:12" ht="13.5" thickBot="1">
      <c r="B480" s="749"/>
      <c r="C480" s="760"/>
      <c r="K480" s="658"/>
      <c r="L480" s="659"/>
    </row>
    <row r="481" spans="2:16" ht="16.5" thickBot="1">
      <c r="B481" s="672"/>
      <c r="D481" s="1830" t="s">
        <v>915</v>
      </c>
      <c r="E481" s="1831"/>
      <c r="F481" s="1831"/>
      <c r="G481" s="1831"/>
      <c r="H481" s="1832"/>
      <c r="K481" s="664"/>
      <c r="L481" s="666"/>
    </row>
    <row r="482" spans="2:16" ht="15">
      <c r="B482" s="672"/>
      <c r="C482" s="673"/>
      <c r="D482" s="1754" t="s">
        <v>916</v>
      </c>
      <c r="E482" s="1754"/>
      <c r="F482" s="1754"/>
      <c r="G482" s="1755">
        <v>1284.07</v>
      </c>
      <c r="H482" s="1755"/>
      <c r="K482" s="664"/>
      <c r="L482" s="666"/>
    </row>
    <row r="483" spans="2:16" ht="18.75" thickBot="1">
      <c r="B483" s="672"/>
      <c r="D483" s="1891" t="s">
        <v>22</v>
      </c>
      <c r="E483" s="1892"/>
      <c r="F483" s="1893"/>
      <c r="G483" s="1894">
        <f>G482</f>
        <v>1284.07</v>
      </c>
      <c r="H483" s="1895"/>
      <c r="K483" s="664"/>
      <c r="L483" s="666"/>
    </row>
    <row r="484" spans="2:16" s="734" customFormat="1" ht="24.75" customHeight="1">
      <c r="B484" s="735"/>
      <c r="D484" s="1810" t="s">
        <v>832</v>
      </c>
      <c r="E484" s="1810"/>
      <c r="F484" s="1810"/>
      <c r="G484" s="1811">
        <f>G483-(G482*0.1)</f>
        <v>1155.6600000000001</v>
      </c>
      <c r="H484" s="1811"/>
      <c r="K484" s="737"/>
      <c r="L484" s="738"/>
      <c r="N484" s="740"/>
      <c r="O484" s="740"/>
    </row>
    <row r="485" spans="2:16">
      <c r="B485" s="672"/>
      <c r="C485" s="671"/>
      <c r="H485" s="807"/>
      <c r="K485" s="664"/>
      <c r="L485" s="676"/>
      <c r="O485" s="1804" t="s">
        <v>831</v>
      </c>
      <c r="P485" s="1804"/>
    </row>
    <row r="486" spans="2:16">
      <c r="B486" s="672"/>
      <c r="C486" s="671"/>
      <c r="K486" s="664"/>
      <c r="L486" s="676"/>
      <c r="O486" s="1804"/>
      <c r="P486" s="1804"/>
    </row>
    <row r="487" spans="2:16" ht="15.75" customHeight="1">
      <c r="B487" s="725" t="s">
        <v>917</v>
      </c>
      <c r="C487" s="1772" t="s">
        <v>833</v>
      </c>
      <c r="D487" s="1772"/>
      <c r="E487" s="1772"/>
      <c r="F487" s="1772"/>
      <c r="G487" s="1772"/>
      <c r="H487" s="1772"/>
      <c r="I487" s="726"/>
      <c r="J487" s="726"/>
      <c r="K487" s="727" t="s">
        <v>0</v>
      </c>
      <c r="L487" s="728">
        <f>H496</f>
        <v>36.86</v>
      </c>
    </row>
    <row r="488" spans="2:16" ht="13.5" thickBot="1">
      <c r="B488" s="749"/>
      <c r="C488" s="760"/>
      <c r="K488" s="658"/>
      <c r="L488" s="659"/>
    </row>
    <row r="489" spans="2:16" ht="16.5" thickBot="1">
      <c r="B489" s="672"/>
      <c r="D489" s="1830" t="s">
        <v>918</v>
      </c>
      <c r="E489" s="1831"/>
      <c r="F489" s="1831"/>
      <c r="G489" s="1831"/>
      <c r="H489" s="1832"/>
      <c r="K489" s="664"/>
      <c r="L489" s="666"/>
    </row>
    <row r="490" spans="2:16" ht="15.75">
      <c r="B490" s="672"/>
      <c r="D490" s="1896" t="s">
        <v>902</v>
      </c>
      <c r="E490" s="1897"/>
      <c r="F490" s="1897"/>
      <c r="G490" s="1897"/>
      <c r="H490" s="1898"/>
      <c r="K490" s="664"/>
      <c r="L490" s="666"/>
    </row>
    <row r="491" spans="2:16" ht="15.75">
      <c r="B491" s="672"/>
      <c r="D491" s="805" t="s">
        <v>767</v>
      </c>
      <c r="E491" s="791" t="s">
        <v>768</v>
      </c>
      <c r="F491" s="791" t="s">
        <v>307</v>
      </c>
      <c r="G491" s="791" t="s">
        <v>761</v>
      </c>
      <c r="H491" s="796" t="s">
        <v>886</v>
      </c>
      <c r="K491" s="664"/>
      <c r="L491" s="666"/>
    </row>
    <row r="492" spans="2:16" ht="15">
      <c r="B492" s="672"/>
      <c r="C492" s="673"/>
      <c r="D492" s="1360">
        <v>5.35</v>
      </c>
      <c r="E492" s="1360">
        <v>5.74</v>
      </c>
      <c r="F492" s="1360">
        <v>0.3</v>
      </c>
      <c r="G492" s="1399">
        <v>2</v>
      </c>
      <c r="H492" s="797">
        <f>D492*E492*F492*G492</f>
        <v>18.43</v>
      </c>
      <c r="K492" s="664"/>
      <c r="L492" s="666"/>
    </row>
    <row r="493" spans="2:16" ht="15.75">
      <c r="B493" s="672"/>
      <c r="C493" s="673"/>
      <c r="D493" s="1903" t="s">
        <v>904</v>
      </c>
      <c r="E493" s="1769"/>
      <c r="F493" s="1769"/>
      <c r="G493" s="1769"/>
      <c r="H493" s="1904"/>
      <c r="K493" s="664"/>
      <c r="L493" s="666"/>
    </row>
    <row r="494" spans="2:16" ht="15.75">
      <c r="B494" s="672"/>
      <c r="C494" s="673"/>
      <c r="D494" s="805" t="s">
        <v>767</v>
      </c>
      <c r="E494" s="791" t="s">
        <v>768</v>
      </c>
      <c r="F494" s="791" t="s">
        <v>307</v>
      </c>
      <c r="G494" s="791" t="s">
        <v>761</v>
      </c>
      <c r="H494" s="796" t="s">
        <v>886</v>
      </c>
      <c r="K494" s="664"/>
      <c r="L494" s="666"/>
    </row>
    <row r="495" spans="2:16" ht="15.75" thickBot="1">
      <c r="B495" s="672"/>
      <c r="C495" s="673"/>
      <c r="D495" s="1360">
        <v>5.35</v>
      </c>
      <c r="E495" s="1360">
        <v>5.74</v>
      </c>
      <c r="F495" s="1360">
        <v>0.3</v>
      </c>
      <c r="G495" s="1399">
        <v>2</v>
      </c>
      <c r="H495" s="797">
        <f>D495*E495*F495*G495</f>
        <v>18.43</v>
      </c>
      <c r="K495" s="664"/>
      <c r="L495" s="666"/>
    </row>
    <row r="496" spans="2:16" ht="18.75" thickBot="1">
      <c r="B496" s="672"/>
      <c r="D496" s="1888" t="s">
        <v>22</v>
      </c>
      <c r="E496" s="1889"/>
      <c r="F496" s="1889"/>
      <c r="G496" s="1889"/>
      <c r="H496" s="798">
        <f>H492+H495</f>
        <v>36.86</v>
      </c>
      <c r="K496" s="664"/>
      <c r="L496" s="666"/>
    </row>
    <row r="497" spans="2:12">
      <c r="B497" s="657"/>
      <c r="C497" s="667"/>
      <c r="K497" s="664"/>
      <c r="L497" s="666"/>
    </row>
    <row r="498" spans="2:12">
      <c r="B498" s="657"/>
      <c r="C498" s="667"/>
      <c r="K498" s="664"/>
      <c r="L498" s="666"/>
    </row>
    <row r="499" spans="2:12" ht="15.75">
      <c r="B499" s="721" t="s">
        <v>919</v>
      </c>
      <c r="C499" s="1771" t="s">
        <v>920</v>
      </c>
      <c r="D499" s="1771"/>
      <c r="E499" s="1771"/>
      <c r="F499" s="1771"/>
      <c r="G499" s="1771"/>
      <c r="H499" s="1771"/>
      <c r="I499" s="722"/>
      <c r="J499" s="722"/>
      <c r="K499" s="723"/>
      <c r="L499" s="724"/>
    </row>
    <row r="500" spans="2:12">
      <c r="B500" s="749"/>
      <c r="L500" s="751"/>
    </row>
    <row r="501" spans="2:12" ht="15.75" customHeight="1">
      <c r="B501" s="725" t="s">
        <v>921</v>
      </c>
      <c r="C501" s="1772" t="s">
        <v>819</v>
      </c>
      <c r="D501" s="1772"/>
      <c r="E501" s="1772"/>
      <c r="F501" s="1772"/>
      <c r="G501" s="1772"/>
      <c r="H501" s="1772"/>
      <c r="I501" s="726"/>
      <c r="J501" s="726"/>
      <c r="K501" s="727" t="s">
        <v>2</v>
      </c>
      <c r="L501" s="728">
        <f>H536</f>
        <v>101.2</v>
      </c>
    </row>
    <row r="502" spans="2:12" ht="15.75" hidden="1">
      <c r="B502" s="749"/>
      <c r="K502" s="764"/>
      <c r="L502" s="751"/>
    </row>
    <row r="503" spans="2:12" ht="15.75" hidden="1">
      <c r="B503" s="749"/>
      <c r="K503" s="764"/>
      <c r="L503" s="751"/>
    </row>
    <row r="504" spans="2:12" ht="15.75" hidden="1">
      <c r="B504" s="749"/>
      <c r="K504" s="764"/>
      <c r="L504" s="751"/>
    </row>
    <row r="505" spans="2:12" ht="15.75" hidden="1">
      <c r="B505" s="749"/>
      <c r="K505" s="764"/>
      <c r="L505" s="751"/>
    </row>
    <row r="506" spans="2:12" ht="15.75" hidden="1">
      <c r="B506" s="749"/>
      <c r="K506" s="764"/>
      <c r="L506" s="751"/>
    </row>
    <row r="507" spans="2:12" ht="15.75" hidden="1">
      <c r="B507" s="749"/>
      <c r="K507" s="764"/>
      <c r="L507" s="751"/>
    </row>
    <row r="508" spans="2:12" ht="15.75" hidden="1">
      <c r="B508" s="749"/>
      <c r="K508" s="764"/>
      <c r="L508" s="751"/>
    </row>
    <row r="509" spans="2:12" ht="15.75" hidden="1">
      <c r="B509" s="749"/>
      <c r="K509" s="764"/>
      <c r="L509" s="751"/>
    </row>
    <row r="510" spans="2:12" ht="15.75" hidden="1">
      <c r="B510" s="749"/>
      <c r="K510" s="764"/>
      <c r="L510" s="751"/>
    </row>
    <row r="511" spans="2:12" ht="15.75" hidden="1">
      <c r="B511" s="749"/>
      <c r="K511" s="764"/>
      <c r="L511" s="751"/>
    </row>
    <row r="512" spans="2:12" ht="15.75" hidden="1">
      <c r="B512" s="749"/>
      <c r="K512" s="764"/>
      <c r="L512" s="751"/>
    </row>
    <row r="513" spans="2:15" ht="15.75" hidden="1">
      <c r="B513" s="749"/>
      <c r="K513" s="764"/>
      <c r="L513" s="751"/>
    </row>
    <row r="514" spans="2:15" ht="15.75" hidden="1">
      <c r="B514" s="749"/>
      <c r="K514" s="764"/>
      <c r="L514" s="751"/>
    </row>
    <row r="515" spans="2:15" ht="15.75" hidden="1">
      <c r="B515" s="749"/>
      <c r="K515" s="764"/>
      <c r="L515" s="751"/>
    </row>
    <row r="516" spans="2:15" ht="15.75" hidden="1">
      <c r="B516" s="749"/>
      <c r="K516" s="764"/>
      <c r="L516" s="751"/>
    </row>
    <row r="517" spans="2:15" ht="15.75" hidden="1">
      <c r="B517" s="749"/>
      <c r="K517" s="764"/>
      <c r="L517" s="751"/>
    </row>
    <row r="518" spans="2:15" ht="15.75" hidden="1">
      <c r="B518" s="749"/>
      <c r="K518" s="764"/>
      <c r="L518" s="751"/>
    </row>
    <row r="519" spans="2:15" ht="15.75" hidden="1">
      <c r="B519" s="749"/>
      <c r="K519" s="764"/>
      <c r="L519" s="751"/>
    </row>
    <row r="520" spans="2:15" ht="15.75" hidden="1">
      <c r="B520" s="749"/>
      <c r="K520" s="764"/>
      <c r="L520" s="751"/>
    </row>
    <row r="521" spans="2:15" ht="15.75" hidden="1">
      <c r="B521" s="749"/>
      <c r="K521" s="764"/>
      <c r="L521" s="751"/>
    </row>
    <row r="522" spans="2:15" ht="15.75" hidden="1">
      <c r="B522" s="749"/>
      <c r="K522" s="764"/>
      <c r="L522" s="751"/>
    </row>
    <row r="523" spans="2:15" ht="15.75" hidden="1">
      <c r="B523" s="749"/>
      <c r="K523" s="764"/>
      <c r="L523" s="751"/>
    </row>
    <row r="524" spans="2:15" ht="15.75" hidden="1">
      <c r="B524" s="749"/>
      <c r="K524" s="764"/>
      <c r="L524" s="751"/>
      <c r="O524" s="679"/>
    </row>
    <row r="525" spans="2:15" ht="15.75" hidden="1">
      <c r="B525" s="749"/>
      <c r="K525" s="764"/>
      <c r="L525" s="751"/>
    </row>
    <row r="526" spans="2:15" ht="15.75" hidden="1">
      <c r="B526" s="749"/>
      <c r="K526" s="764"/>
      <c r="L526" s="751"/>
    </row>
    <row r="527" spans="2:15" ht="15.75" hidden="1">
      <c r="B527" s="749"/>
      <c r="K527" s="764"/>
      <c r="L527" s="751"/>
    </row>
    <row r="528" spans="2:15" ht="16.5" thickBot="1">
      <c r="B528" s="749"/>
      <c r="K528" s="764"/>
      <c r="L528" s="751"/>
    </row>
    <row r="529" spans="2:15" ht="16.5" thickBot="1">
      <c r="B529" s="672"/>
      <c r="D529" s="1830" t="s">
        <v>922</v>
      </c>
      <c r="E529" s="1831"/>
      <c r="F529" s="1831"/>
      <c r="G529" s="1831"/>
      <c r="H529" s="1832"/>
      <c r="K529" s="664"/>
      <c r="L529" s="666"/>
    </row>
    <row r="530" spans="2:15" ht="15.75">
      <c r="B530" s="672"/>
      <c r="D530" s="1896" t="s">
        <v>793</v>
      </c>
      <c r="E530" s="1897"/>
      <c r="F530" s="1897"/>
      <c r="G530" s="1897"/>
      <c r="H530" s="1898"/>
      <c r="K530" s="664"/>
      <c r="L530" s="666"/>
    </row>
    <row r="531" spans="2:15" ht="15.75">
      <c r="B531" s="672"/>
      <c r="C531" s="675"/>
      <c r="D531" s="1899" t="s">
        <v>923</v>
      </c>
      <c r="E531" s="1900"/>
      <c r="F531" s="791" t="s">
        <v>768</v>
      </c>
      <c r="G531" s="791" t="s">
        <v>761</v>
      </c>
      <c r="H531" s="796" t="s">
        <v>886</v>
      </c>
      <c r="K531" s="664"/>
      <c r="L531" s="666"/>
    </row>
    <row r="532" spans="2:15" ht="15">
      <c r="B532" s="672"/>
      <c r="C532" s="673"/>
      <c r="D532" s="1395" t="s">
        <v>1645</v>
      </c>
      <c r="E532" s="1396">
        <f>0.2+0.2+0.2+0.2</f>
        <v>0.8</v>
      </c>
      <c r="F532" s="1385">
        <v>1.1000000000000001</v>
      </c>
      <c r="G532" s="1398">
        <v>20</v>
      </c>
      <c r="H532" s="797">
        <f>F532*G532*E532</f>
        <v>17.600000000000001</v>
      </c>
      <c r="K532" s="664"/>
      <c r="L532" s="666"/>
    </row>
    <row r="533" spans="2:15" ht="15.75">
      <c r="B533" s="672"/>
      <c r="C533" s="673"/>
      <c r="D533" s="1903" t="s">
        <v>924</v>
      </c>
      <c r="E533" s="1769"/>
      <c r="F533" s="1769"/>
      <c r="G533" s="1769"/>
      <c r="H533" s="1904"/>
      <c r="K533" s="664"/>
      <c r="L533" s="666"/>
    </row>
    <row r="534" spans="2:15" ht="15.75">
      <c r="B534" s="672"/>
      <c r="C534" s="673"/>
      <c r="D534" s="1899" t="s">
        <v>923</v>
      </c>
      <c r="E534" s="1900"/>
      <c r="F534" s="791" t="s">
        <v>767</v>
      </c>
      <c r="G534" s="791" t="s">
        <v>761</v>
      </c>
      <c r="H534" s="796" t="s">
        <v>886</v>
      </c>
      <c r="K534" s="664"/>
      <c r="L534" s="666"/>
    </row>
    <row r="535" spans="2:15" ht="15.75" thickBot="1">
      <c r="B535" s="672"/>
      <c r="C535" s="673"/>
      <c r="D535" s="1395" t="s">
        <v>1645</v>
      </c>
      <c r="E535" s="1396">
        <f>0.2+0.2+0.2+0.2</f>
        <v>0.8</v>
      </c>
      <c r="F535" s="1385">
        <v>2.2000000000000002</v>
      </c>
      <c r="G535" s="1398">
        <f>9*4</f>
        <v>36</v>
      </c>
      <c r="H535" s="797">
        <f>F535*G535*E535</f>
        <v>63.36</v>
      </c>
      <c r="K535" s="664"/>
      <c r="L535" s="666"/>
    </row>
    <row r="536" spans="2:15" ht="18.75" thickBot="1">
      <c r="B536" s="672"/>
      <c r="C536" s="675"/>
      <c r="D536" s="1888" t="s">
        <v>22</v>
      </c>
      <c r="E536" s="1889"/>
      <c r="F536" s="1889"/>
      <c r="G536" s="1890"/>
      <c r="H536" s="798">
        <f>(H532+H535)*(1+$N$3)</f>
        <v>101.2</v>
      </c>
      <c r="K536" s="664"/>
      <c r="L536" s="666"/>
    </row>
    <row r="537" spans="2:15">
      <c r="B537" s="672"/>
      <c r="C537" s="671"/>
      <c r="K537" s="664"/>
      <c r="L537" s="676"/>
    </row>
    <row r="538" spans="2:15" ht="30.75" customHeight="1" thickBot="1">
      <c r="B538" s="725" t="s">
        <v>925</v>
      </c>
      <c r="C538" s="1772" t="s">
        <v>844</v>
      </c>
      <c r="D538" s="1772"/>
      <c r="E538" s="1772"/>
      <c r="F538" s="1772"/>
      <c r="G538" s="1772"/>
      <c r="H538" s="1772"/>
      <c r="I538" s="726"/>
      <c r="J538" s="726"/>
      <c r="K538" s="727" t="s">
        <v>791</v>
      </c>
      <c r="L538" s="728">
        <f>G544</f>
        <v>200.08</v>
      </c>
    </row>
    <row r="539" spans="2:15" ht="408.75" hidden="1" customHeight="1">
      <c r="B539" s="725"/>
      <c r="C539" s="726"/>
      <c r="D539" s="726"/>
      <c r="E539" s="726"/>
      <c r="F539" s="726"/>
      <c r="G539" s="726"/>
      <c r="H539" s="726"/>
      <c r="I539" s="726"/>
      <c r="J539" s="726"/>
      <c r="K539" s="727"/>
      <c r="L539" s="728"/>
    </row>
    <row r="540" spans="2:15" ht="360.75" hidden="1" customHeight="1" thickBot="1">
      <c r="B540" s="749"/>
      <c r="C540" s="760"/>
      <c r="K540" s="658"/>
      <c r="L540" s="659"/>
    </row>
    <row r="541" spans="2:15" ht="16.5" thickBot="1">
      <c r="B541" s="672"/>
      <c r="C541" s="675"/>
      <c r="D541" s="1830" t="s">
        <v>915</v>
      </c>
      <c r="E541" s="1831"/>
      <c r="F541" s="1831"/>
      <c r="G541" s="1831"/>
      <c r="H541" s="1832"/>
      <c r="K541" s="664"/>
      <c r="L541" s="666"/>
    </row>
    <row r="542" spans="2:15" ht="15">
      <c r="B542" s="672"/>
      <c r="C542" s="673"/>
      <c r="D542" s="1754" t="s">
        <v>926</v>
      </c>
      <c r="E542" s="1754"/>
      <c r="F542" s="1754"/>
      <c r="G542" s="1755">
        <v>222.31</v>
      </c>
      <c r="H542" s="1755"/>
      <c r="K542" s="664"/>
      <c r="L542" s="666"/>
    </row>
    <row r="543" spans="2:15" ht="18.75" thickBot="1">
      <c r="B543" s="672"/>
      <c r="C543" s="675"/>
      <c r="D543" s="1891" t="s">
        <v>22</v>
      </c>
      <c r="E543" s="1892"/>
      <c r="F543" s="1893"/>
      <c r="G543" s="1894">
        <f>G542</f>
        <v>222.31</v>
      </c>
      <c r="H543" s="1895"/>
      <c r="K543" s="664"/>
      <c r="L543" s="666"/>
    </row>
    <row r="544" spans="2:15" s="734" customFormat="1" ht="24.75" customHeight="1">
      <c r="B544" s="735"/>
      <c r="D544" s="1810" t="s">
        <v>832</v>
      </c>
      <c r="E544" s="1810"/>
      <c r="F544" s="1810"/>
      <c r="G544" s="1811">
        <f>G543-(G542*0.1)</f>
        <v>200.08</v>
      </c>
      <c r="H544" s="1811"/>
      <c r="K544" s="737"/>
      <c r="L544" s="738"/>
      <c r="N544" s="740"/>
      <c r="O544" s="740"/>
    </row>
    <row r="545" spans="2:12">
      <c r="B545" s="672"/>
      <c r="C545" s="671"/>
      <c r="K545" s="664"/>
      <c r="L545" s="676"/>
    </row>
    <row r="546" spans="2:12" ht="14.25" customHeight="1">
      <c r="B546" s="672"/>
      <c r="C546" s="671"/>
      <c r="K546" s="664"/>
      <c r="L546" s="676"/>
    </row>
    <row r="547" spans="2:12" ht="15.75" customHeight="1">
      <c r="B547" s="725" t="s">
        <v>927</v>
      </c>
      <c r="C547" s="1772" t="s">
        <v>833</v>
      </c>
      <c r="D547" s="1772"/>
      <c r="E547" s="1772"/>
      <c r="F547" s="1772"/>
      <c r="G547" s="1772"/>
      <c r="H547" s="1772"/>
      <c r="I547" s="726"/>
      <c r="J547" s="726"/>
      <c r="K547" s="727" t="s">
        <v>0</v>
      </c>
      <c r="L547" s="728">
        <f>H572</f>
        <v>4.05</v>
      </c>
    </row>
    <row r="548" spans="2:12" ht="13.5" thickBot="1">
      <c r="B548" s="749"/>
      <c r="C548" s="760"/>
      <c r="K548" s="658"/>
      <c r="L548" s="659"/>
    </row>
    <row r="549" spans="2:12" hidden="1">
      <c r="B549" s="749"/>
      <c r="C549" s="760"/>
      <c r="K549" s="658"/>
      <c r="L549" s="659"/>
    </row>
    <row r="550" spans="2:12" hidden="1">
      <c r="B550" s="749"/>
      <c r="C550" s="760"/>
      <c r="K550" s="658"/>
      <c r="L550" s="659"/>
    </row>
    <row r="551" spans="2:12" hidden="1">
      <c r="B551" s="749"/>
      <c r="C551" s="760"/>
      <c r="K551" s="658"/>
      <c r="L551" s="659"/>
    </row>
    <row r="552" spans="2:12" hidden="1">
      <c r="B552" s="749"/>
      <c r="C552" s="760"/>
      <c r="K552" s="658"/>
      <c r="L552" s="659"/>
    </row>
    <row r="553" spans="2:12" hidden="1">
      <c r="B553" s="749"/>
      <c r="C553" s="760"/>
      <c r="K553" s="658"/>
      <c r="L553" s="659"/>
    </row>
    <row r="554" spans="2:12" hidden="1">
      <c r="B554" s="749"/>
      <c r="C554" s="760"/>
      <c r="K554" s="658"/>
      <c r="L554" s="659"/>
    </row>
    <row r="555" spans="2:12" hidden="1">
      <c r="B555" s="749"/>
      <c r="C555" s="760"/>
      <c r="K555" s="658"/>
      <c r="L555" s="659"/>
    </row>
    <row r="556" spans="2:12" hidden="1">
      <c r="B556" s="749"/>
      <c r="C556" s="760"/>
      <c r="K556" s="658"/>
      <c r="L556" s="659"/>
    </row>
    <row r="557" spans="2:12" hidden="1">
      <c r="B557" s="749"/>
      <c r="C557" s="760"/>
      <c r="K557" s="658"/>
      <c r="L557" s="659"/>
    </row>
    <row r="558" spans="2:12" hidden="1">
      <c r="B558" s="749"/>
      <c r="C558" s="760"/>
      <c r="K558" s="658"/>
      <c r="L558" s="659"/>
    </row>
    <row r="559" spans="2:12" hidden="1">
      <c r="B559" s="749"/>
      <c r="C559" s="760"/>
      <c r="K559" s="658"/>
      <c r="L559" s="659"/>
    </row>
    <row r="560" spans="2:12" hidden="1">
      <c r="B560" s="749"/>
      <c r="C560" s="760"/>
      <c r="K560" s="658"/>
      <c r="L560" s="659"/>
    </row>
    <row r="561" spans="2:12" hidden="1">
      <c r="B561" s="749"/>
      <c r="C561" s="760"/>
      <c r="K561" s="658"/>
      <c r="L561" s="659"/>
    </row>
    <row r="562" spans="2:12" hidden="1">
      <c r="B562" s="749"/>
      <c r="C562" s="760"/>
      <c r="K562" s="658"/>
      <c r="L562" s="659"/>
    </row>
    <row r="563" spans="2:12" hidden="1">
      <c r="B563" s="749"/>
      <c r="C563" s="760"/>
      <c r="K563" s="658"/>
      <c r="L563" s="659"/>
    </row>
    <row r="564" spans="2:12" ht="13.5" hidden="1" thickBot="1">
      <c r="B564" s="749"/>
      <c r="C564" s="760"/>
      <c r="K564" s="658"/>
      <c r="L564" s="659"/>
    </row>
    <row r="565" spans="2:12" ht="16.5" thickBot="1">
      <c r="B565" s="672"/>
      <c r="C565" s="675"/>
      <c r="D565" s="1830" t="s">
        <v>918</v>
      </c>
      <c r="E565" s="1831"/>
      <c r="F565" s="1831"/>
      <c r="G565" s="1831"/>
      <c r="H565" s="1832"/>
      <c r="K565" s="664"/>
      <c r="L565" s="666"/>
    </row>
    <row r="566" spans="2:12" ht="15.75">
      <c r="B566" s="672"/>
      <c r="C566" s="675"/>
      <c r="D566" s="1896" t="s">
        <v>793</v>
      </c>
      <c r="E566" s="1897"/>
      <c r="F566" s="1897"/>
      <c r="G566" s="1897"/>
      <c r="H566" s="1898"/>
      <c r="K566" s="664"/>
      <c r="L566" s="666"/>
    </row>
    <row r="567" spans="2:12" ht="15.75">
      <c r="B567" s="672"/>
      <c r="C567" s="675"/>
      <c r="D567" s="1899" t="s">
        <v>928</v>
      </c>
      <c r="E567" s="1854"/>
      <c r="F567" s="791" t="s">
        <v>768</v>
      </c>
      <c r="G567" s="791" t="s">
        <v>761</v>
      </c>
      <c r="H567" s="796" t="s">
        <v>886</v>
      </c>
      <c r="K567" s="664"/>
      <c r="L567" s="666"/>
    </row>
    <row r="568" spans="2:12" ht="15">
      <c r="B568" s="672"/>
      <c r="C568" s="673"/>
      <c r="D568" s="1360">
        <v>0.2</v>
      </c>
      <c r="E568" s="1360">
        <v>0.2</v>
      </c>
      <c r="F568" s="1360">
        <v>1.1000000000000001</v>
      </c>
      <c r="G568" s="1399">
        <v>20</v>
      </c>
      <c r="H568" s="797">
        <f>D568*E568*F568*G568</f>
        <v>0.88</v>
      </c>
      <c r="K568" s="664"/>
      <c r="L568" s="666"/>
    </row>
    <row r="569" spans="2:12" ht="15.75">
      <c r="B569" s="672"/>
      <c r="C569" s="673"/>
      <c r="D569" s="1903" t="s">
        <v>924</v>
      </c>
      <c r="E569" s="1769"/>
      <c r="F569" s="1769"/>
      <c r="G569" s="1769"/>
      <c r="H569" s="1904"/>
      <c r="K569" s="664"/>
      <c r="L569" s="666"/>
    </row>
    <row r="570" spans="2:12" ht="15.75">
      <c r="B570" s="672"/>
      <c r="C570" s="673"/>
      <c r="D570" s="1899" t="s">
        <v>929</v>
      </c>
      <c r="E570" s="1900"/>
      <c r="F570" s="791" t="s">
        <v>767</v>
      </c>
      <c r="G570" s="791" t="s">
        <v>761</v>
      </c>
      <c r="H570" s="796" t="s">
        <v>886</v>
      </c>
      <c r="K570" s="664"/>
      <c r="L570" s="666"/>
    </row>
    <row r="571" spans="2:12" ht="15.75" thickBot="1">
      <c r="B571" s="672"/>
      <c r="C571" s="673"/>
      <c r="D571" s="1360">
        <v>0.2</v>
      </c>
      <c r="E571" s="1360">
        <v>0.2</v>
      </c>
      <c r="F571" s="1360">
        <v>2.2000000000000002</v>
      </c>
      <c r="G571" s="1399">
        <v>36</v>
      </c>
      <c r="H571" s="797">
        <f>D571*E571*F571*G571</f>
        <v>3.17</v>
      </c>
      <c r="K571" s="664"/>
      <c r="L571" s="666"/>
    </row>
    <row r="572" spans="2:12" ht="18.75" thickBot="1">
      <c r="B572" s="672"/>
      <c r="C572" s="675"/>
      <c r="D572" s="1888" t="s">
        <v>22</v>
      </c>
      <c r="E572" s="1889"/>
      <c r="F572" s="1889"/>
      <c r="G572" s="1889"/>
      <c r="H572" s="798">
        <f>H568+H571</f>
        <v>4.05</v>
      </c>
      <c r="K572" s="664"/>
      <c r="L572" s="666"/>
    </row>
    <row r="573" spans="2:12">
      <c r="B573" s="657"/>
      <c r="C573" s="667"/>
      <c r="K573" s="664"/>
      <c r="L573" s="666"/>
    </row>
    <row r="574" spans="2:12" ht="15.75">
      <c r="B574" s="721" t="s">
        <v>930</v>
      </c>
      <c r="C574" s="1771" t="s">
        <v>931</v>
      </c>
      <c r="D574" s="1771"/>
      <c r="E574" s="1771"/>
      <c r="F574" s="1771"/>
      <c r="G574" s="1771"/>
      <c r="H574" s="1771"/>
      <c r="I574" s="722"/>
      <c r="J574" s="722"/>
      <c r="K574" s="723"/>
      <c r="L574" s="724"/>
    </row>
    <row r="575" spans="2:12">
      <c r="B575" s="672"/>
      <c r="C575" s="799"/>
      <c r="K575" s="664"/>
      <c r="L575" s="666"/>
    </row>
    <row r="576" spans="2:12" ht="15.75" customHeight="1">
      <c r="B576" s="725" t="s">
        <v>932</v>
      </c>
      <c r="C576" s="1772" t="s">
        <v>812</v>
      </c>
      <c r="D576" s="1772"/>
      <c r="E576" s="1772"/>
      <c r="F576" s="1772"/>
      <c r="G576" s="1772"/>
      <c r="H576" s="1772"/>
      <c r="I576" s="726"/>
      <c r="J576" s="726"/>
      <c r="K576" s="727" t="s">
        <v>933</v>
      </c>
      <c r="L576" s="728">
        <f>H581</f>
        <v>265</v>
      </c>
    </row>
    <row r="577" spans="2:12" ht="16.5" thickBot="1">
      <c r="B577" s="749"/>
      <c r="K577" s="764"/>
      <c r="L577" s="751"/>
    </row>
    <row r="578" spans="2:12" ht="16.5" thickBot="1">
      <c r="B578" s="749"/>
      <c r="C578" s="760"/>
      <c r="D578" s="1830" t="s">
        <v>882</v>
      </c>
      <c r="E578" s="1831"/>
      <c r="F578" s="1831"/>
      <c r="G578" s="1831"/>
      <c r="H578" s="1832"/>
      <c r="K578" s="658"/>
      <c r="L578" s="659"/>
    </row>
    <row r="579" spans="2:12" ht="15.75">
      <c r="B579" s="672"/>
      <c r="C579" s="675"/>
      <c r="D579" s="795" t="s">
        <v>767</v>
      </c>
      <c r="E579" s="1853" t="s">
        <v>307</v>
      </c>
      <c r="F579" s="1854"/>
      <c r="G579" s="791" t="s">
        <v>761</v>
      </c>
      <c r="H579" s="796" t="s">
        <v>886</v>
      </c>
      <c r="K579" s="664"/>
      <c r="L579" s="666"/>
    </row>
    <row r="580" spans="2:12" ht="15">
      <c r="B580" s="672"/>
      <c r="C580" s="673"/>
      <c r="D580" s="1360">
        <v>25</v>
      </c>
      <c r="E580" s="1754">
        <v>10.6</v>
      </c>
      <c r="F580" s="1754"/>
      <c r="G580" s="1400">
        <v>1</v>
      </c>
      <c r="H580" s="797">
        <f>D580*E580*G580</f>
        <v>265</v>
      </c>
      <c r="K580" s="664"/>
      <c r="L580" s="666"/>
    </row>
    <row r="581" spans="2:12" ht="18.75" thickBot="1">
      <c r="B581" s="672"/>
      <c r="C581" s="675"/>
      <c r="D581" s="1891" t="s">
        <v>22</v>
      </c>
      <c r="E581" s="1892"/>
      <c r="F581" s="1892"/>
      <c r="G581" s="1892"/>
      <c r="H581" s="790">
        <f>H580</f>
        <v>265</v>
      </c>
      <c r="K581" s="664"/>
      <c r="L581" s="666"/>
    </row>
    <row r="582" spans="2:12" ht="13.5" thickBot="1">
      <c r="B582" s="808"/>
      <c r="C582" s="682"/>
      <c r="D582" s="682"/>
      <c r="E582" s="682"/>
      <c r="F582" s="682"/>
      <c r="G582" s="682"/>
      <c r="H582" s="682"/>
      <c r="I582" s="682"/>
      <c r="J582" s="682"/>
      <c r="K582" s="683"/>
      <c r="L582" s="809"/>
    </row>
    <row r="583" spans="2:12">
      <c r="E583" s="652" t="s">
        <v>783</v>
      </c>
    </row>
  </sheetData>
  <mergeCells count="270">
    <mergeCell ref="D581:G581"/>
    <mergeCell ref="D572:G572"/>
    <mergeCell ref="C574:H574"/>
    <mergeCell ref="C576:H576"/>
    <mergeCell ref="D578:H578"/>
    <mergeCell ref="E579:F579"/>
    <mergeCell ref="E580:F580"/>
    <mergeCell ref="C547:H547"/>
    <mergeCell ref="D565:H565"/>
    <mergeCell ref="D566:H566"/>
    <mergeCell ref="D567:E567"/>
    <mergeCell ref="D569:H569"/>
    <mergeCell ref="D570:E570"/>
    <mergeCell ref="D542:F542"/>
    <mergeCell ref="G542:H542"/>
    <mergeCell ref="D543:F543"/>
    <mergeCell ref="G543:H543"/>
    <mergeCell ref="D544:F544"/>
    <mergeCell ref="G544:H544"/>
    <mergeCell ref="D531:E531"/>
    <mergeCell ref="D533:H533"/>
    <mergeCell ref="D534:E534"/>
    <mergeCell ref="D536:G536"/>
    <mergeCell ref="C538:H538"/>
    <mergeCell ref="D541:H541"/>
    <mergeCell ref="D493:H493"/>
    <mergeCell ref="D496:G496"/>
    <mergeCell ref="C499:H499"/>
    <mergeCell ref="C501:H501"/>
    <mergeCell ref="D529:H529"/>
    <mergeCell ref="D530:H530"/>
    <mergeCell ref="D484:F484"/>
    <mergeCell ref="G484:H484"/>
    <mergeCell ref="O485:P486"/>
    <mergeCell ref="C487:H487"/>
    <mergeCell ref="D489:H489"/>
    <mergeCell ref="D490:H490"/>
    <mergeCell ref="D475:G475"/>
    <mergeCell ref="C478:H478"/>
    <mergeCell ref="D481:H481"/>
    <mergeCell ref="D482:F482"/>
    <mergeCell ref="G482:H482"/>
    <mergeCell ref="D483:F483"/>
    <mergeCell ref="G483:H483"/>
    <mergeCell ref="C444:H444"/>
    <mergeCell ref="D468:H468"/>
    <mergeCell ref="D469:H469"/>
    <mergeCell ref="D470:E470"/>
    <mergeCell ref="D472:H472"/>
    <mergeCell ref="D473:E473"/>
    <mergeCell ref="E436:F436"/>
    <mergeCell ref="D437:H437"/>
    <mergeCell ref="E438:F438"/>
    <mergeCell ref="E439:F439"/>
    <mergeCell ref="D440:G440"/>
    <mergeCell ref="C442:H442"/>
    <mergeCell ref="D428:F428"/>
    <mergeCell ref="G428:H428"/>
    <mergeCell ref="C431:H431"/>
    <mergeCell ref="D433:H433"/>
    <mergeCell ref="D434:H434"/>
    <mergeCell ref="E435:F435"/>
    <mergeCell ref="D420:G420"/>
    <mergeCell ref="C423:H423"/>
    <mergeCell ref="D425:H425"/>
    <mergeCell ref="D426:F426"/>
    <mergeCell ref="G426:H426"/>
    <mergeCell ref="O426:P427"/>
    <mergeCell ref="D427:F427"/>
    <mergeCell ref="G427:H427"/>
    <mergeCell ref="D414:H414"/>
    <mergeCell ref="D415:F415"/>
    <mergeCell ref="D416:E416"/>
    <mergeCell ref="D417:H417"/>
    <mergeCell ref="D418:F418"/>
    <mergeCell ref="D419:E419"/>
    <mergeCell ref="D405:F405"/>
    <mergeCell ref="G405:H405"/>
    <mergeCell ref="C407:H407"/>
    <mergeCell ref="C409:H409"/>
    <mergeCell ref="C411:H411"/>
    <mergeCell ref="D413:H413"/>
    <mergeCell ref="C378:H378"/>
    <mergeCell ref="C402:C403"/>
    <mergeCell ref="D402:F402"/>
    <mergeCell ref="G402:H403"/>
    <mergeCell ref="D403:E403"/>
    <mergeCell ref="D404:E404"/>
    <mergeCell ref="G404:H404"/>
    <mergeCell ref="C346:H346"/>
    <mergeCell ref="D371:H371"/>
    <mergeCell ref="D372:E372"/>
    <mergeCell ref="D373:E373"/>
    <mergeCell ref="D374:G374"/>
    <mergeCell ref="C376:H376"/>
    <mergeCell ref="C335:H335"/>
    <mergeCell ref="D338:H338"/>
    <mergeCell ref="F339:G339"/>
    <mergeCell ref="F340:G340"/>
    <mergeCell ref="D341:G341"/>
    <mergeCell ref="C344:H344"/>
    <mergeCell ref="C368:H368"/>
    <mergeCell ref="C348:H348"/>
    <mergeCell ref="D350:H350"/>
    <mergeCell ref="D351:H351"/>
    <mergeCell ref="D352:E352"/>
    <mergeCell ref="D353:E353"/>
    <mergeCell ref="D354:E354"/>
    <mergeCell ref="D355:E355"/>
    <mergeCell ref="D356:E356"/>
    <mergeCell ref="D357:G357"/>
    <mergeCell ref="D358:G358"/>
    <mergeCell ref="C360:H360"/>
    <mergeCell ref="D296:F296"/>
    <mergeCell ref="G296:H296"/>
    <mergeCell ref="C298:H298"/>
    <mergeCell ref="D300:H300"/>
    <mergeCell ref="D301:H301"/>
    <mergeCell ref="D333:G333"/>
    <mergeCell ref="D289:G289"/>
    <mergeCell ref="C291:H291"/>
    <mergeCell ref="D293:H293"/>
    <mergeCell ref="D294:F294"/>
    <mergeCell ref="G294:H294"/>
    <mergeCell ref="D295:F295"/>
    <mergeCell ref="G295:H295"/>
    <mergeCell ref="D273:E273"/>
    <mergeCell ref="D274:E274"/>
    <mergeCell ref="D275:E275"/>
    <mergeCell ref="D276:E276"/>
    <mergeCell ref="D287:E287"/>
    <mergeCell ref="D288:E288"/>
    <mergeCell ref="D267:E267"/>
    <mergeCell ref="D268:E268"/>
    <mergeCell ref="D269:E269"/>
    <mergeCell ref="D270:E270"/>
    <mergeCell ref="D271:E271"/>
    <mergeCell ref="D272:E272"/>
    <mergeCell ref="D277:E277"/>
    <mergeCell ref="D278:E278"/>
    <mergeCell ref="D279:E279"/>
    <mergeCell ref="D280:E280"/>
    <mergeCell ref="D281:E281"/>
    <mergeCell ref="D282:E282"/>
    <mergeCell ref="D283:E283"/>
    <mergeCell ref="D284:E284"/>
    <mergeCell ref="D285:E285"/>
    <mergeCell ref="D286:E286"/>
    <mergeCell ref="D261:E261"/>
    <mergeCell ref="D262:E262"/>
    <mergeCell ref="D263:E263"/>
    <mergeCell ref="D264:E264"/>
    <mergeCell ref="D265:E265"/>
    <mergeCell ref="D266:E266"/>
    <mergeCell ref="C229:H229"/>
    <mergeCell ref="D256:H256"/>
    <mergeCell ref="D257:H257"/>
    <mergeCell ref="D258:E258"/>
    <mergeCell ref="D259:E259"/>
    <mergeCell ref="D260:E260"/>
    <mergeCell ref="C204:H204"/>
    <mergeCell ref="D224:H224"/>
    <mergeCell ref="G225:H225"/>
    <mergeCell ref="G226:H226"/>
    <mergeCell ref="D227:F227"/>
    <mergeCell ref="G227:H227"/>
    <mergeCell ref="D186:H186"/>
    <mergeCell ref="D187:H187"/>
    <mergeCell ref="D193:H193"/>
    <mergeCell ref="D194:H194"/>
    <mergeCell ref="D200:G200"/>
    <mergeCell ref="C202:H202"/>
    <mergeCell ref="D181:F181"/>
    <mergeCell ref="G181:H181"/>
    <mergeCell ref="C183:H183"/>
    <mergeCell ref="D185:H185"/>
    <mergeCell ref="D168:E168"/>
    <mergeCell ref="D173:G173"/>
    <mergeCell ref="C175:H175"/>
    <mergeCell ref="D177:H177"/>
    <mergeCell ref="D178:F178"/>
    <mergeCell ref="G178:H178"/>
    <mergeCell ref="D179:F179"/>
    <mergeCell ref="G179:H179"/>
    <mergeCell ref="D166:H166"/>
    <mergeCell ref="D167:H167"/>
    <mergeCell ref="D130:F130"/>
    <mergeCell ref="G130:H130"/>
    <mergeCell ref="D131:F131"/>
    <mergeCell ref="G131:H131"/>
    <mergeCell ref="C133:H133"/>
    <mergeCell ref="C156:H156"/>
    <mergeCell ref="D180:F180"/>
    <mergeCell ref="G180:H180"/>
    <mergeCell ref="N109:O110"/>
    <mergeCell ref="D110:F110"/>
    <mergeCell ref="G110:H110"/>
    <mergeCell ref="D111:F111"/>
    <mergeCell ref="G111:H111"/>
    <mergeCell ref="C114:H114"/>
    <mergeCell ref="D158:H158"/>
    <mergeCell ref="D159:H159"/>
    <mergeCell ref="D160:H160"/>
    <mergeCell ref="D84:H84"/>
    <mergeCell ref="D85:E85"/>
    <mergeCell ref="C106:H106"/>
    <mergeCell ref="D108:H108"/>
    <mergeCell ref="D109:F109"/>
    <mergeCell ref="G109:H109"/>
    <mergeCell ref="D89:H89"/>
    <mergeCell ref="D93:E93"/>
    <mergeCell ref="D99:E99"/>
    <mergeCell ref="D100:H100"/>
    <mergeCell ref="D101:E101"/>
    <mergeCell ref="D103:G103"/>
    <mergeCell ref="D104:G104"/>
    <mergeCell ref="D81:H81"/>
    <mergeCell ref="D83:E83"/>
    <mergeCell ref="D72:H72"/>
    <mergeCell ref="D73:H73"/>
    <mergeCell ref="D74:E74"/>
    <mergeCell ref="D75:E75"/>
    <mergeCell ref="D76:H76"/>
    <mergeCell ref="D77:E77"/>
    <mergeCell ref="D79:G79"/>
    <mergeCell ref="D80:H80"/>
    <mergeCell ref="D82:E82"/>
    <mergeCell ref="C68:H68"/>
    <mergeCell ref="D70:H70"/>
    <mergeCell ref="D71:H71"/>
    <mergeCell ref="C9:H9"/>
    <mergeCell ref="C37:C38"/>
    <mergeCell ref="D37:F37"/>
    <mergeCell ref="G37:H38"/>
    <mergeCell ref="D38:E38"/>
    <mergeCell ref="D39:E39"/>
    <mergeCell ref="G39:H39"/>
    <mergeCell ref="B1:L1"/>
    <mergeCell ref="B2:L2"/>
    <mergeCell ref="B3:L3"/>
    <mergeCell ref="C4:H4"/>
    <mergeCell ref="C5:H5"/>
    <mergeCell ref="C7:H7"/>
    <mergeCell ref="D40:F40"/>
    <mergeCell ref="G40:H40"/>
    <mergeCell ref="C42:H42"/>
    <mergeCell ref="D362:H362"/>
    <mergeCell ref="D363:F363"/>
    <mergeCell ref="G363:H363"/>
    <mergeCell ref="D364:F364"/>
    <mergeCell ref="G364:H364"/>
    <mergeCell ref="D365:F365"/>
    <mergeCell ref="G365:H365"/>
    <mergeCell ref="D87:G87"/>
    <mergeCell ref="D88:H88"/>
    <mergeCell ref="D90:E90"/>
    <mergeCell ref="D91:E91"/>
    <mergeCell ref="D92:H92"/>
    <mergeCell ref="D95:G95"/>
    <mergeCell ref="D96:H96"/>
    <mergeCell ref="D97:H97"/>
    <mergeCell ref="D98:E98"/>
    <mergeCell ref="D116:H116"/>
    <mergeCell ref="D122:G122"/>
    <mergeCell ref="C124:H124"/>
    <mergeCell ref="C126:H126"/>
    <mergeCell ref="D128:H128"/>
    <mergeCell ref="D129:F129"/>
    <mergeCell ref="G129:H129"/>
    <mergeCell ref="D161:E161"/>
  </mergeCells>
  <pageMargins left="0.51181102362204722" right="0.51181102362204722" top="0.78740157480314965" bottom="0.78740157480314965" header="0.31496062992125984" footer="0.31496062992125984"/>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69866-EDF2-4920-AAED-EAC0BD44005B}">
  <sheetPr codeName="Planilha15">
    <tabColor theme="7" tint="0.39997558519241921"/>
  </sheetPr>
  <dimension ref="A1:P38"/>
  <sheetViews>
    <sheetView zoomScale="80" zoomScaleNormal="80" zoomScaleSheetLayoutView="80" workbookViewId="0">
      <selection activeCell="N10" sqref="N10"/>
    </sheetView>
  </sheetViews>
  <sheetFormatPr defaultColWidth="8.85546875" defaultRowHeight="12.75"/>
  <cols>
    <col min="1" max="1" width="30.7109375" style="898" customWidth="1"/>
    <col min="2" max="5" width="6" style="898" customWidth="1"/>
    <col min="6" max="6" width="14.28515625" style="898" customWidth="1"/>
    <col min="7" max="7" width="12.28515625" style="898" customWidth="1"/>
    <col min="8" max="8" width="13.7109375" style="898" customWidth="1"/>
    <col min="9" max="10" width="18" style="898" customWidth="1"/>
    <col min="11" max="11" width="14.85546875" style="898" customWidth="1"/>
    <col min="12" max="13" width="15.140625" style="898" bestFit="1" customWidth="1"/>
    <col min="14" max="14" width="23" style="898" customWidth="1"/>
    <col min="15" max="256" width="8.85546875" style="898"/>
    <col min="257" max="257" width="37.140625" style="898" bestFit="1" customWidth="1"/>
    <col min="258" max="263" width="14.42578125" style="898" customWidth="1"/>
    <col min="264" max="268" width="20.28515625" style="898" customWidth="1"/>
    <col min="269" max="269" width="19.140625" style="898" customWidth="1"/>
    <col min="270" max="270" width="19" style="898" customWidth="1"/>
    <col min="271" max="512" width="8.85546875" style="898"/>
    <col min="513" max="513" width="37.140625" style="898" bestFit="1" customWidth="1"/>
    <col min="514" max="519" width="14.42578125" style="898" customWidth="1"/>
    <col min="520" max="524" width="20.28515625" style="898" customWidth="1"/>
    <col min="525" max="525" width="19.140625" style="898" customWidth="1"/>
    <col min="526" max="526" width="19" style="898" customWidth="1"/>
    <col min="527" max="768" width="8.85546875" style="898"/>
    <col min="769" max="769" width="37.140625" style="898" bestFit="1" customWidth="1"/>
    <col min="770" max="775" width="14.42578125" style="898" customWidth="1"/>
    <col min="776" max="780" width="20.28515625" style="898" customWidth="1"/>
    <col min="781" max="781" width="19.140625" style="898" customWidth="1"/>
    <col min="782" max="782" width="19" style="898" customWidth="1"/>
    <col min="783" max="1024" width="8.85546875" style="898"/>
    <col min="1025" max="1025" width="37.140625" style="898" bestFit="1" customWidth="1"/>
    <col min="1026" max="1031" width="14.42578125" style="898" customWidth="1"/>
    <col min="1032" max="1036" width="20.28515625" style="898" customWidth="1"/>
    <col min="1037" max="1037" width="19.140625" style="898" customWidth="1"/>
    <col min="1038" max="1038" width="19" style="898" customWidth="1"/>
    <col min="1039" max="1280" width="8.85546875" style="898"/>
    <col min="1281" max="1281" width="37.140625" style="898" bestFit="1" customWidth="1"/>
    <col min="1282" max="1287" width="14.42578125" style="898" customWidth="1"/>
    <col min="1288" max="1292" width="20.28515625" style="898" customWidth="1"/>
    <col min="1293" max="1293" width="19.140625" style="898" customWidth="1"/>
    <col min="1294" max="1294" width="19" style="898" customWidth="1"/>
    <col min="1295" max="1536" width="8.85546875" style="898"/>
    <col min="1537" max="1537" width="37.140625" style="898" bestFit="1" customWidth="1"/>
    <col min="1538" max="1543" width="14.42578125" style="898" customWidth="1"/>
    <col min="1544" max="1548" width="20.28515625" style="898" customWidth="1"/>
    <col min="1549" max="1549" width="19.140625" style="898" customWidth="1"/>
    <col min="1550" max="1550" width="19" style="898" customWidth="1"/>
    <col min="1551" max="1792" width="8.85546875" style="898"/>
    <col min="1793" max="1793" width="37.140625" style="898" bestFit="1" customWidth="1"/>
    <col min="1794" max="1799" width="14.42578125" style="898" customWidth="1"/>
    <col min="1800" max="1804" width="20.28515625" style="898" customWidth="1"/>
    <col min="1805" max="1805" width="19.140625" style="898" customWidth="1"/>
    <col min="1806" max="1806" width="19" style="898" customWidth="1"/>
    <col min="1807" max="2048" width="8.85546875" style="898"/>
    <col min="2049" max="2049" width="37.140625" style="898" bestFit="1" customWidth="1"/>
    <col min="2050" max="2055" width="14.42578125" style="898" customWidth="1"/>
    <col min="2056" max="2060" width="20.28515625" style="898" customWidth="1"/>
    <col min="2061" max="2061" width="19.140625" style="898" customWidth="1"/>
    <col min="2062" max="2062" width="19" style="898" customWidth="1"/>
    <col min="2063" max="2304" width="8.85546875" style="898"/>
    <col min="2305" max="2305" width="37.140625" style="898" bestFit="1" customWidth="1"/>
    <col min="2306" max="2311" width="14.42578125" style="898" customWidth="1"/>
    <col min="2312" max="2316" width="20.28515625" style="898" customWidth="1"/>
    <col min="2317" max="2317" width="19.140625" style="898" customWidth="1"/>
    <col min="2318" max="2318" width="19" style="898" customWidth="1"/>
    <col min="2319" max="2560" width="8.85546875" style="898"/>
    <col min="2561" max="2561" width="37.140625" style="898" bestFit="1" customWidth="1"/>
    <col min="2562" max="2567" width="14.42578125" style="898" customWidth="1"/>
    <col min="2568" max="2572" width="20.28515625" style="898" customWidth="1"/>
    <col min="2573" max="2573" width="19.140625" style="898" customWidth="1"/>
    <col min="2574" max="2574" width="19" style="898" customWidth="1"/>
    <col min="2575" max="2816" width="8.85546875" style="898"/>
    <col min="2817" max="2817" width="37.140625" style="898" bestFit="1" customWidth="1"/>
    <col min="2818" max="2823" width="14.42578125" style="898" customWidth="1"/>
    <col min="2824" max="2828" width="20.28515625" style="898" customWidth="1"/>
    <col min="2829" max="2829" width="19.140625" style="898" customWidth="1"/>
    <col min="2830" max="2830" width="19" style="898" customWidth="1"/>
    <col min="2831" max="3072" width="8.85546875" style="898"/>
    <col min="3073" max="3073" width="37.140625" style="898" bestFit="1" customWidth="1"/>
    <col min="3074" max="3079" width="14.42578125" style="898" customWidth="1"/>
    <col min="3080" max="3084" width="20.28515625" style="898" customWidth="1"/>
    <col min="3085" max="3085" width="19.140625" style="898" customWidth="1"/>
    <col min="3086" max="3086" width="19" style="898" customWidth="1"/>
    <col min="3087" max="3328" width="8.85546875" style="898"/>
    <col min="3329" max="3329" width="37.140625" style="898" bestFit="1" customWidth="1"/>
    <col min="3330" max="3335" width="14.42578125" style="898" customWidth="1"/>
    <col min="3336" max="3340" width="20.28515625" style="898" customWidth="1"/>
    <col min="3341" max="3341" width="19.140625" style="898" customWidth="1"/>
    <col min="3342" max="3342" width="19" style="898" customWidth="1"/>
    <col min="3343" max="3584" width="8.85546875" style="898"/>
    <col min="3585" max="3585" width="37.140625" style="898" bestFit="1" customWidth="1"/>
    <col min="3586" max="3591" width="14.42578125" style="898" customWidth="1"/>
    <col min="3592" max="3596" width="20.28515625" style="898" customWidth="1"/>
    <col min="3597" max="3597" width="19.140625" style="898" customWidth="1"/>
    <col min="3598" max="3598" width="19" style="898" customWidth="1"/>
    <col min="3599" max="3840" width="8.85546875" style="898"/>
    <col min="3841" max="3841" width="37.140625" style="898" bestFit="1" customWidth="1"/>
    <col min="3842" max="3847" width="14.42578125" style="898" customWidth="1"/>
    <col min="3848" max="3852" width="20.28515625" style="898" customWidth="1"/>
    <col min="3853" max="3853" width="19.140625" style="898" customWidth="1"/>
    <col min="3854" max="3854" width="19" style="898" customWidth="1"/>
    <col min="3855" max="4096" width="8.85546875" style="898"/>
    <col min="4097" max="4097" width="37.140625" style="898" bestFit="1" customWidth="1"/>
    <col min="4098" max="4103" width="14.42578125" style="898" customWidth="1"/>
    <col min="4104" max="4108" width="20.28515625" style="898" customWidth="1"/>
    <col min="4109" max="4109" width="19.140625" style="898" customWidth="1"/>
    <col min="4110" max="4110" width="19" style="898" customWidth="1"/>
    <col min="4111" max="4352" width="8.85546875" style="898"/>
    <col min="4353" max="4353" width="37.140625" style="898" bestFit="1" customWidth="1"/>
    <col min="4354" max="4359" width="14.42578125" style="898" customWidth="1"/>
    <col min="4360" max="4364" width="20.28515625" style="898" customWidth="1"/>
    <col min="4365" max="4365" width="19.140625" style="898" customWidth="1"/>
    <col min="4366" max="4366" width="19" style="898" customWidth="1"/>
    <col min="4367" max="4608" width="8.85546875" style="898"/>
    <col min="4609" max="4609" width="37.140625" style="898" bestFit="1" customWidth="1"/>
    <col min="4610" max="4615" width="14.42578125" style="898" customWidth="1"/>
    <col min="4616" max="4620" width="20.28515625" style="898" customWidth="1"/>
    <col min="4621" max="4621" width="19.140625" style="898" customWidth="1"/>
    <col min="4622" max="4622" width="19" style="898" customWidth="1"/>
    <col min="4623" max="4864" width="8.85546875" style="898"/>
    <col min="4865" max="4865" width="37.140625" style="898" bestFit="1" customWidth="1"/>
    <col min="4866" max="4871" width="14.42578125" style="898" customWidth="1"/>
    <col min="4872" max="4876" width="20.28515625" style="898" customWidth="1"/>
    <col min="4877" max="4877" width="19.140625" style="898" customWidth="1"/>
    <col min="4878" max="4878" width="19" style="898" customWidth="1"/>
    <col min="4879" max="5120" width="8.85546875" style="898"/>
    <col min="5121" max="5121" width="37.140625" style="898" bestFit="1" customWidth="1"/>
    <col min="5122" max="5127" width="14.42578125" style="898" customWidth="1"/>
    <col min="5128" max="5132" width="20.28515625" style="898" customWidth="1"/>
    <col min="5133" max="5133" width="19.140625" style="898" customWidth="1"/>
    <col min="5134" max="5134" width="19" style="898" customWidth="1"/>
    <col min="5135" max="5376" width="8.85546875" style="898"/>
    <col min="5377" max="5377" width="37.140625" style="898" bestFit="1" customWidth="1"/>
    <col min="5378" max="5383" width="14.42578125" style="898" customWidth="1"/>
    <col min="5384" max="5388" width="20.28515625" style="898" customWidth="1"/>
    <col min="5389" max="5389" width="19.140625" style="898" customWidth="1"/>
    <col min="5390" max="5390" width="19" style="898" customWidth="1"/>
    <col min="5391" max="5632" width="8.85546875" style="898"/>
    <col min="5633" max="5633" width="37.140625" style="898" bestFit="1" customWidth="1"/>
    <col min="5634" max="5639" width="14.42578125" style="898" customWidth="1"/>
    <col min="5640" max="5644" width="20.28515625" style="898" customWidth="1"/>
    <col min="5645" max="5645" width="19.140625" style="898" customWidth="1"/>
    <col min="5646" max="5646" width="19" style="898" customWidth="1"/>
    <col min="5647" max="5888" width="8.85546875" style="898"/>
    <col min="5889" max="5889" width="37.140625" style="898" bestFit="1" customWidth="1"/>
    <col min="5890" max="5895" width="14.42578125" style="898" customWidth="1"/>
    <col min="5896" max="5900" width="20.28515625" style="898" customWidth="1"/>
    <col min="5901" max="5901" width="19.140625" style="898" customWidth="1"/>
    <col min="5902" max="5902" width="19" style="898" customWidth="1"/>
    <col min="5903" max="6144" width="8.85546875" style="898"/>
    <col min="6145" max="6145" width="37.140625" style="898" bestFit="1" customWidth="1"/>
    <col min="6146" max="6151" width="14.42578125" style="898" customWidth="1"/>
    <col min="6152" max="6156" width="20.28515625" style="898" customWidth="1"/>
    <col min="6157" max="6157" width="19.140625" style="898" customWidth="1"/>
    <col min="6158" max="6158" width="19" style="898" customWidth="1"/>
    <col min="6159" max="6400" width="8.85546875" style="898"/>
    <col min="6401" max="6401" width="37.140625" style="898" bestFit="1" customWidth="1"/>
    <col min="6402" max="6407" width="14.42578125" style="898" customWidth="1"/>
    <col min="6408" max="6412" width="20.28515625" style="898" customWidth="1"/>
    <col min="6413" max="6413" width="19.140625" style="898" customWidth="1"/>
    <col min="6414" max="6414" width="19" style="898" customWidth="1"/>
    <col min="6415" max="6656" width="8.85546875" style="898"/>
    <col min="6657" max="6657" width="37.140625" style="898" bestFit="1" customWidth="1"/>
    <col min="6658" max="6663" width="14.42578125" style="898" customWidth="1"/>
    <col min="6664" max="6668" width="20.28515625" style="898" customWidth="1"/>
    <col min="6669" max="6669" width="19.140625" style="898" customWidth="1"/>
    <col min="6670" max="6670" width="19" style="898" customWidth="1"/>
    <col min="6671" max="6912" width="8.85546875" style="898"/>
    <col min="6913" max="6913" width="37.140625" style="898" bestFit="1" customWidth="1"/>
    <col min="6914" max="6919" width="14.42578125" style="898" customWidth="1"/>
    <col min="6920" max="6924" width="20.28515625" style="898" customWidth="1"/>
    <col min="6925" max="6925" width="19.140625" style="898" customWidth="1"/>
    <col min="6926" max="6926" width="19" style="898" customWidth="1"/>
    <col min="6927" max="7168" width="8.85546875" style="898"/>
    <col min="7169" max="7169" width="37.140625" style="898" bestFit="1" customWidth="1"/>
    <col min="7170" max="7175" width="14.42578125" style="898" customWidth="1"/>
    <col min="7176" max="7180" width="20.28515625" style="898" customWidth="1"/>
    <col min="7181" max="7181" width="19.140625" style="898" customWidth="1"/>
    <col min="7182" max="7182" width="19" style="898" customWidth="1"/>
    <col min="7183" max="7424" width="8.85546875" style="898"/>
    <col min="7425" max="7425" width="37.140625" style="898" bestFit="1" customWidth="1"/>
    <col min="7426" max="7431" width="14.42578125" style="898" customWidth="1"/>
    <col min="7432" max="7436" width="20.28515625" style="898" customWidth="1"/>
    <col min="7437" max="7437" width="19.140625" style="898" customWidth="1"/>
    <col min="7438" max="7438" width="19" style="898" customWidth="1"/>
    <col min="7439" max="7680" width="8.85546875" style="898"/>
    <col min="7681" max="7681" width="37.140625" style="898" bestFit="1" customWidth="1"/>
    <col min="7682" max="7687" width="14.42578125" style="898" customWidth="1"/>
    <col min="7688" max="7692" width="20.28515625" style="898" customWidth="1"/>
    <col min="7693" max="7693" width="19.140625" style="898" customWidth="1"/>
    <col min="7694" max="7694" width="19" style="898" customWidth="1"/>
    <col min="7695" max="7936" width="8.85546875" style="898"/>
    <col min="7937" max="7937" width="37.140625" style="898" bestFit="1" customWidth="1"/>
    <col min="7938" max="7943" width="14.42578125" style="898" customWidth="1"/>
    <col min="7944" max="7948" width="20.28515625" style="898" customWidth="1"/>
    <col min="7949" max="7949" width="19.140625" style="898" customWidth="1"/>
    <col min="7950" max="7950" width="19" style="898" customWidth="1"/>
    <col min="7951" max="8192" width="8.85546875" style="898"/>
    <col min="8193" max="8193" width="37.140625" style="898" bestFit="1" customWidth="1"/>
    <col min="8194" max="8199" width="14.42578125" style="898" customWidth="1"/>
    <col min="8200" max="8204" width="20.28515625" style="898" customWidth="1"/>
    <col min="8205" max="8205" width="19.140625" style="898" customWidth="1"/>
    <col min="8206" max="8206" width="19" style="898" customWidth="1"/>
    <col min="8207" max="8448" width="8.85546875" style="898"/>
    <col min="8449" max="8449" width="37.140625" style="898" bestFit="1" customWidth="1"/>
    <col min="8450" max="8455" width="14.42578125" style="898" customWidth="1"/>
    <col min="8456" max="8460" width="20.28515625" style="898" customWidth="1"/>
    <col min="8461" max="8461" width="19.140625" style="898" customWidth="1"/>
    <col min="8462" max="8462" width="19" style="898" customWidth="1"/>
    <col min="8463" max="8704" width="8.85546875" style="898"/>
    <col min="8705" max="8705" width="37.140625" style="898" bestFit="1" customWidth="1"/>
    <col min="8706" max="8711" width="14.42578125" style="898" customWidth="1"/>
    <col min="8712" max="8716" width="20.28515625" style="898" customWidth="1"/>
    <col min="8717" max="8717" width="19.140625" style="898" customWidth="1"/>
    <col min="8718" max="8718" width="19" style="898" customWidth="1"/>
    <col min="8719" max="8960" width="8.85546875" style="898"/>
    <col min="8961" max="8961" width="37.140625" style="898" bestFit="1" customWidth="1"/>
    <col min="8962" max="8967" width="14.42578125" style="898" customWidth="1"/>
    <col min="8968" max="8972" width="20.28515625" style="898" customWidth="1"/>
    <col min="8973" max="8973" width="19.140625" style="898" customWidth="1"/>
    <col min="8974" max="8974" width="19" style="898" customWidth="1"/>
    <col min="8975" max="9216" width="8.85546875" style="898"/>
    <col min="9217" max="9217" width="37.140625" style="898" bestFit="1" customWidth="1"/>
    <col min="9218" max="9223" width="14.42578125" style="898" customWidth="1"/>
    <col min="9224" max="9228" width="20.28515625" style="898" customWidth="1"/>
    <col min="9229" max="9229" width="19.140625" style="898" customWidth="1"/>
    <col min="9230" max="9230" width="19" style="898" customWidth="1"/>
    <col min="9231" max="9472" width="8.85546875" style="898"/>
    <col min="9473" max="9473" width="37.140625" style="898" bestFit="1" customWidth="1"/>
    <col min="9474" max="9479" width="14.42578125" style="898" customWidth="1"/>
    <col min="9480" max="9484" width="20.28515625" style="898" customWidth="1"/>
    <col min="9485" max="9485" width="19.140625" style="898" customWidth="1"/>
    <col min="9486" max="9486" width="19" style="898" customWidth="1"/>
    <col min="9487" max="9728" width="8.85546875" style="898"/>
    <col min="9729" max="9729" width="37.140625" style="898" bestFit="1" customWidth="1"/>
    <col min="9730" max="9735" width="14.42578125" style="898" customWidth="1"/>
    <col min="9736" max="9740" width="20.28515625" style="898" customWidth="1"/>
    <col min="9741" max="9741" width="19.140625" style="898" customWidth="1"/>
    <col min="9742" max="9742" width="19" style="898" customWidth="1"/>
    <col min="9743" max="9984" width="8.85546875" style="898"/>
    <col min="9985" max="9985" width="37.140625" style="898" bestFit="1" customWidth="1"/>
    <col min="9986" max="9991" width="14.42578125" style="898" customWidth="1"/>
    <col min="9992" max="9996" width="20.28515625" style="898" customWidth="1"/>
    <col min="9997" max="9997" width="19.140625" style="898" customWidth="1"/>
    <col min="9998" max="9998" width="19" style="898" customWidth="1"/>
    <col min="9999" max="10240" width="8.85546875" style="898"/>
    <col min="10241" max="10241" width="37.140625" style="898" bestFit="1" customWidth="1"/>
    <col min="10242" max="10247" width="14.42578125" style="898" customWidth="1"/>
    <col min="10248" max="10252" width="20.28515625" style="898" customWidth="1"/>
    <col min="10253" max="10253" width="19.140625" style="898" customWidth="1"/>
    <col min="10254" max="10254" width="19" style="898" customWidth="1"/>
    <col min="10255" max="10496" width="8.85546875" style="898"/>
    <col min="10497" max="10497" width="37.140625" style="898" bestFit="1" customWidth="1"/>
    <col min="10498" max="10503" width="14.42578125" style="898" customWidth="1"/>
    <col min="10504" max="10508" width="20.28515625" style="898" customWidth="1"/>
    <col min="10509" max="10509" width="19.140625" style="898" customWidth="1"/>
    <col min="10510" max="10510" width="19" style="898" customWidth="1"/>
    <col min="10511" max="10752" width="8.85546875" style="898"/>
    <col min="10753" max="10753" width="37.140625" style="898" bestFit="1" customWidth="1"/>
    <col min="10754" max="10759" width="14.42578125" style="898" customWidth="1"/>
    <col min="10760" max="10764" width="20.28515625" style="898" customWidth="1"/>
    <col min="10765" max="10765" width="19.140625" style="898" customWidth="1"/>
    <col min="10766" max="10766" width="19" style="898" customWidth="1"/>
    <col min="10767" max="11008" width="8.85546875" style="898"/>
    <col min="11009" max="11009" width="37.140625" style="898" bestFit="1" customWidth="1"/>
    <col min="11010" max="11015" width="14.42578125" style="898" customWidth="1"/>
    <col min="11016" max="11020" width="20.28515625" style="898" customWidth="1"/>
    <col min="11021" max="11021" width="19.140625" style="898" customWidth="1"/>
    <col min="11022" max="11022" width="19" style="898" customWidth="1"/>
    <col min="11023" max="11264" width="8.85546875" style="898"/>
    <col min="11265" max="11265" width="37.140625" style="898" bestFit="1" customWidth="1"/>
    <col min="11266" max="11271" width="14.42578125" style="898" customWidth="1"/>
    <col min="11272" max="11276" width="20.28515625" style="898" customWidth="1"/>
    <col min="11277" max="11277" width="19.140625" style="898" customWidth="1"/>
    <col min="11278" max="11278" width="19" style="898" customWidth="1"/>
    <col min="11279" max="11520" width="8.85546875" style="898"/>
    <col min="11521" max="11521" width="37.140625" style="898" bestFit="1" customWidth="1"/>
    <col min="11522" max="11527" width="14.42578125" style="898" customWidth="1"/>
    <col min="11528" max="11532" width="20.28515625" style="898" customWidth="1"/>
    <col min="11533" max="11533" width="19.140625" style="898" customWidth="1"/>
    <col min="11534" max="11534" width="19" style="898" customWidth="1"/>
    <col min="11535" max="11776" width="8.85546875" style="898"/>
    <col min="11777" max="11777" width="37.140625" style="898" bestFit="1" customWidth="1"/>
    <col min="11778" max="11783" width="14.42578125" style="898" customWidth="1"/>
    <col min="11784" max="11788" width="20.28515625" style="898" customWidth="1"/>
    <col min="11789" max="11789" width="19.140625" style="898" customWidth="1"/>
    <col min="11790" max="11790" width="19" style="898" customWidth="1"/>
    <col min="11791" max="12032" width="8.85546875" style="898"/>
    <col min="12033" max="12033" width="37.140625" style="898" bestFit="1" customWidth="1"/>
    <col min="12034" max="12039" width="14.42578125" style="898" customWidth="1"/>
    <col min="12040" max="12044" width="20.28515625" style="898" customWidth="1"/>
    <col min="12045" max="12045" width="19.140625" style="898" customWidth="1"/>
    <col min="12046" max="12046" width="19" style="898" customWidth="1"/>
    <col min="12047" max="12288" width="8.85546875" style="898"/>
    <col min="12289" max="12289" width="37.140625" style="898" bestFit="1" customWidth="1"/>
    <col min="12290" max="12295" width="14.42578125" style="898" customWidth="1"/>
    <col min="12296" max="12300" width="20.28515625" style="898" customWidth="1"/>
    <col min="12301" max="12301" width="19.140625" style="898" customWidth="1"/>
    <col min="12302" max="12302" width="19" style="898" customWidth="1"/>
    <col min="12303" max="12544" width="8.85546875" style="898"/>
    <col min="12545" max="12545" width="37.140625" style="898" bestFit="1" customWidth="1"/>
    <col min="12546" max="12551" width="14.42578125" style="898" customWidth="1"/>
    <col min="12552" max="12556" width="20.28515625" style="898" customWidth="1"/>
    <col min="12557" max="12557" width="19.140625" style="898" customWidth="1"/>
    <col min="12558" max="12558" width="19" style="898" customWidth="1"/>
    <col min="12559" max="12800" width="8.85546875" style="898"/>
    <col min="12801" max="12801" width="37.140625" style="898" bestFit="1" customWidth="1"/>
    <col min="12802" max="12807" width="14.42578125" style="898" customWidth="1"/>
    <col min="12808" max="12812" width="20.28515625" style="898" customWidth="1"/>
    <col min="12813" max="12813" width="19.140625" style="898" customWidth="1"/>
    <col min="12814" max="12814" width="19" style="898" customWidth="1"/>
    <col min="12815" max="13056" width="8.85546875" style="898"/>
    <col min="13057" max="13057" width="37.140625" style="898" bestFit="1" customWidth="1"/>
    <col min="13058" max="13063" width="14.42578125" style="898" customWidth="1"/>
    <col min="13064" max="13068" width="20.28515625" style="898" customWidth="1"/>
    <col min="13069" max="13069" width="19.140625" style="898" customWidth="1"/>
    <col min="13070" max="13070" width="19" style="898" customWidth="1"/>
    <col min="13071" max="13312" width="8.85546875" style="898"/>
    <col min="13313" max="13313" width="37.140625" style="898" bestFit="1" customWidth="1"/>
    <col min="13314" max="13319" width="14.42578125" style="898" customWidth="1"/>
    <col min="13320" max="13324" width="20.28515625" style="898" customWidth="1"/>
    <col min="13325" max="13325" width="19.140625" style="898" customWidth="1"/>
    <col min="13326" max="13326" width="19" style="898" customWidth="1"/>
    <col min="13327" max="13568" width="8.85546875" style="898"/>
    <col min="13569" max="13569" width="37.140625" style="898" bestFit="1" customWidth="1"/>
    <col min="13570" max="13575" width="14.42578125" style="898" customWidth="1"/>
    <col min="13576" max="13580" width="20.28515625" style="898" customWidth="1"/>
    <col min="13581" max="13581" width="19.140625" style="898" customWidth="1"/>
    <col min="13582" max="13582" width="19" style="898" customWidth="1"/>
    <col min="13583" max="13824" width="8.85546875" style="898"/>
    <col min="13825" max="13825" width="37.140625" style="898" bestFit="1" customWidth="1"/>
    <col min="13826" max="13831" width="14.42578125" style="898" customWidth="1"/>
    <col min="13832" max="13836" width="20.28515625" style="898" customWidth="1"/>
    <col min="13837" max="13837" width="19.140625" style="898" customWidth="1"/>
    <col min="13838" max="13838" width="19" style="898" customWidth="1"/>
    <col min="13839" max="14080" width="8.85546875" style="898"/>
    <col min="14081" max="14081" width="37.140625" style="898" bestFit="1" customWidth="1"/>
    <col min="14082" max="14087" width="14.42578125" style="898" customWidth="1"/>
    <col min="14088" max="14092" width="20.28515625" style="898" customWidth="1"/>
    <col min="14093" max="14093" width="19.140625" style="898" customWidth="1"/>
    <col min="14094" max="14094" width="19" style="898" customWidth="1"/>
    <col min="14095" max="14336" width="8.85546875" style="898"/>
    <col min="14337" max="14337" width="37.140625" style="898" bestFit="1" customWidth="1"/>
    <col min="14338" max="14343" width="14.42578125" style="898" customWidth="1"/>
    <col min="14344" max="14348" width="20.28515625" style="898" customWidth="1"/>
    <col min="14349" max="14349" width="19.140625" style="898" customWidth="1"/>
    <col min="14350" max="14350" width="19" style="898" customWidth="1"/>
    <col min="14351" max="14592" width="8.85546875" style="898"/>
    <col min="14593" max="14593" width="37.140625" style="898" bestFit="1" customWidth="1"/>
    <col min="14594" max="14599" width="14.42578125" style="898" customWidth="1"/>
    <col min="14600" max="14604" width="20.28515625" style="898" customWidth="1"/>
    <col min="14605" max="14605" width="19.140625" style="898" customWidth="1"/>
    <col min="14606" max="14606" width="19" style="898" customWidth="1"/>
    <col min="14607" max="14848" width="8.85546875" style="898"/>
    <col min="14849" max="14849" width="37.140625" style="898" bestFit="1" customWidth="1"/>
    <col min="14850" max="14855" width="14.42578125" style="898" customWidth="1"/>
    <col min="14856" max="14860" width="20.28515625" style="898" customWidth="1"/>
    <col min="14861" max="14861" width="19.140625" style="898" customWidth="1"/>
    <col min="14862" max="14862" width="19" style="898" customWidth="1"/>
    <col min="14863" max="15104" width="8.85546875" style="898"/>
    <col min="15105" max="15105" width="37.140625" style="898" bestFit="1" customWidth="1"/>
    <col min="15106" max="15111" width="14.42578125" style="898" customWidth="1"/>
    <col min="15112" max="15116" width="20.28515625" style="898" customWidth="1"/>
    <col min="15117" max="15117" width="19.140625" style="898" customWidth="1"/>
    <col min="15118" max="15118" width="19" style="898" customWidth="1"/>
    <col min="15119" max="15360" width="8.85546875" style="898"/>
    <col min="15361" max="15361" width="37.140625" style="898" bestFit="1" customWidth="1"/>
    <col min="15362" max="15367" width="14.42578125" style="898" customWidth="1"/>
    <col min="15368" max="15372" width="20.28515625" style="898" customWidth="1"/>
    <col min="15373" max="15373" width="19.140625" style="898" customWidth="1"/>
    <col min="15374" max="15374" width="19" style="898" customWidth="1"/>
    <col min="15375" max="15616" width="8.85546875" style="898"/>
    <col min="15617" max="15617" width="37.140625" style="898" bestFit="1" customWidth="1"/>
    <col min="15618" max="15623" width="14.42578125" style="898" customWidth="1"/>
    <col min="15624" max="15628" width="20.28515625" style="898" customWidth="1"/>
    <col min="15629" max="15629" width="19.140625" style="898" customWidth="1"/>
    <col min="15630" max="15630" width="19" style="898" customWidth="1"/>
    <col min="15631" max="15872" width="8.85546875" style="898"/>
    <col min="15873" max="15873" width="37.140625" style="898" bestFit="1" customWidth="1"/>
    <col min="15874" max="15879" width="14.42578125" style="898" customWidth="1"/>
    <col min="15880" max="15884" width="20.28515625" style="898" customWidth="1"/>
    <col min="15885" max="15885" width="19.140625" style="898" customWidth="1"/>
    <col min="15886" max="15886" width="19" style="898" customWidth="1"/>
    <col min="15887" max="16128" width="8.85546875" style="898"/>
    <col min="16129" max="16129" width="37.140625" style="898" bestFit="1" customWidth="1"/>
    <col min="16130" max="16135" width="14.42578125" style="898" customWidth="1"/>
    <col min="16136" max="16140" width="20.28515625" style="898" customWidth="1"/>
    <col min="16141" max="16141" width="19.140625" style="898" customWidth="1"/>
    <col min="16142" max="16142" width="19" style="898" customWidth="1"/>
    <col min="16143" max="16384" width="8.85546875" style="898"/>
  </cols>
  <sheetData>
    <row r="1" spans="1:16" s="896" customFormat="1" ht="57.75" customHeight="1">
      <c r="A1" s="895"/>
      <c r="B1" s="1702" t="s">
        <v>1445</v>
      </c>
      <c r="C1" s="1702"/>
      <c r="D1" s="1702"/>
      <c r="E1" s="1906"/>
      <c r="F1" s="1906"/>
      <c r="G1" s="1906"/>
      <c r="H1" s="1906"/>
      <c r="I1" s="1906"/>
      <c r="J1" s="1906"/>
      <c r="K1" s="1906"/>
      <c r="L1" s="1906"/>
      <c r="M1" s="1906"/>
      <c r="N1" s="1906"/>
    </row>
    <row r="2" spans="1:16" s="896" customFormat="1" ht="24" customHeight="1">
      <c r="A2" s="1907" t="s">
        <v>1404</v>
      </c>
      <c r="B2" s="1907"/>
      <c r="C2" s="1907"/>
      <c r="D2" s="1907"/>
      <c r="E2" s="1907"/>
      <c r="F2" s="1907"/>
      <c r="G2" s="1907"/>
      <c r="H2" s="1907"/>
      <c r="I2" s="1907"/>
      <c r="J2" s="1907"/>
      <c r="K2" s="1907"/>
      <c r="L2" s="1907"/>
      <c r="M2" s="1907"/>
      <c r="N2" s="1907"/>
    </row>
    <row r="3" spans="1:16" s="896" customFormat="1" ht="14.25" customHeight="1" thickBot="1">
      <c r="A3" s="1705"/>
      <c r="B3" s="1706"/>
      <c r="C3" s="1706"/>
      <c r="D3" s="1706"/>
      <c r="E3" s="1706"/>
      <c r="F3" s="1706"/>
      <c r="G3" s="1706"/>
      <c r="H3" s="1706"/>
      <c r="I3" s="1706"/>
      <c r="J3" s="1706"/>
      <c r="K3" s="1706"/>
      <c r="L3" s="1706"/>
      <c r="M3" s="1706"/>
      <c r="N3" s="1706"/>
    </row>
    <row r="4" spans="1:16" s="896" customFormat="1" ht="15.75" customHeight="1">
      <c r="A4" s="1908" t="s">
        <v>1405</v>
      </c>
      <c r="B4" s="1909"/>
      <c r="C4" s="1909"/>
      <c r="D4" s="1909"/>
      <c r="E4" s="1909"/>
      <c r="F4" s="1909"/>
      <c r="G4" s="1909"/>
      <c r="H4" s="1909"/>
      <c r="I4" s="1909"/>
      <c r="J4" s="1909"/>
      <c r="K4" s="1909"/>
      <c r="L4" s="1909"/>
      <c r="M4" s="1909"/>
      <c r="N4" s="1910"/>
    </row>
    <row r="5" spans="1:16" ht="15.75" customHeight="1" thickBot="1">
      <c r="A5" s="1911"/>
      <c r="B5" s="1912"/>
      <c r="C5" s="1912"/>
      <c r="D5" s="1912"/>
      <c r="E5" s="1912"/>
      <c r="F5" s="1912"/>
      <c r="G5" s="1912"/>
      <c r="H5" s="1912"/>
      <c r="I5" s="1912"/>
      <c r="J5" s="1912"/>
      <c r="K5" s="1912"/>
      <c r="L5" s="1912"/>
      <c r="M5" s="1912"/>
      <c r="N5" s="1913"/>
    </row>
    <row r="6" spans="1:16" s="902" customFormat="1" ht="15">
      <c r="A6" s="1914" t="s">
        <v>336</v>
      </c>
      <c r="B6" s="1916" t="s">
        <v>770</v>
      </c>
      <c r="C6" s="1917"/>
      <c r="D6" s="1917"/>
      <c r="E6" s="1918"/>
      <c r="F6" s="1922" t="s">
        <v>329</v>
      </c>
      <c r="G6" s="1922" t="s">
        <v>307</v>
      </c>
      <c r="H6" s="1924" t="s">
        <v>1446</v>
      </c>
      <c r="I6" s="1924" t="s">
        <v>1447</v>
      </c>
      <c r="J6" s="1924" t="s">
        <v>1448</v>
      </c>
      <c r="K6" s="1933" t="s">
        <v>1449</v>
      </c>
      <c r="L6" s="1934"/>
      <c r="M6" s="1935"/>
      <c r="N6" s="1936" t="s">
        <v>1415</v>
      </c>
    </row>
    <row r="7" spans="1:16" s="902" customFormat="1" ht="15">
      <c r="A7" s="1915"/>
      <c r="B7" s="1919"/>
      <c r="C7" s="1920"/>
      <c r="D7" s="1920"/>
      <c r="E7" s="1921"/>
      <c r="F7" s="1923"/>
      <c r="G7" s="1923"/>
      <c r="H7" s="1925"/>
      <c r="I7" s="1925"/>
      <c r="J7" s="1925"/>
      <c r="K7" s="925" t="s">
        <v>1450</v>
      </c>
      <c r="L7" s="926" t="s">
        <v>1451</v>
      </c>
      <c r="M7" s="926" t="s">
        <v>22</v>
      </c>
      <c r="N7" s="1937"/>
    </row>
    <row r="8" spans="1:16" s="902" customFormat="1" ht="21.2" customHeight="1">
      <c r="A8" s="1915"/>
      <c r="B8" s="1938" t="s">
        <v>1436</v>
      </c>
      <c r="C8" s="1939"/>
      <c r="D8" s="1938" t="s">
        <v>1437</v>
      </c>
      <c r="E8" s="1939"/>
      <c r="F8" s="927" t="s">
        <v>308</v>
      </c>
      <c r="G8" s="927" t="s">
        <v>308</v>
      </c>
      <c r="H8" s="927" t="s">
        <v>308</v>
      </c>
      <c r="I8" s="927" t="s">
        <v>1441</v>
      </c>
      <c r="J8" s="927" t="s">
        <v>1441</v>
      </c>
      <c r="K8" s="927" t="s">
        <v>1438</v>
      </c>
      <c r="L8" s="927" t="s">
        <v>1438</v>
      </c>
      <c r="M8" s="927" t="s">
        <v>1438</v>
      </c>
      <c r="N8" s="928" t="s">
        <v>1439</v>
      </c>
    </row>
    <row r="9" spans="1:16" s="932" customFormat="1" ht="19.5" customHeight="1" thickBot="1">
      <c r="A9" s="929" t="s">
        <v>1443</v>
      </c>
      <c r="B9" s="1940"/>
      <c r="C9" s="1941"/>
      <c r="D9" s="1941"/>
      <c r="E9" s="1942"/>
      <c r="F9" s="930" t="s">
        <v>50</v>
      </c>
      <c r="G9" s="930" t="s">
        <v>53</v>
      </c>
      <c r="H9" s="930" t="s">
        <v>14</v>
      </c>
      <c r="I9" s="930"/>
      <c r="J9" s="930"/>
      <c r="K9" s="930"/>
      <c r="L9" s="930" t="s">
        <v>1452</v>
      </c>
      <c r="M9" s="930" t="s">
        <v>1453</v>
      </c>
      <c r="N9" s="931"/>
    </row>
    <row r="10" spans="1:16" s="902" customFormat="1" ht="33" customHeight="1" thickBot="1">
      <c r="A10" s="933"/>
      <c r="B10" s="934">
        <v>0</v>
      </c>
      <c r="C10" s="935">
        <v>0</v>
      </c>
      <c r="D10" s="934">
        <f>'MC TERR'!D13</f>
        <v>16</v>
      </c>
      <c r="E10" s="935">
        <v>0</v>
      </c>
      <c r="F10" s="936">
        <f>((D10+E10/20)-(B10+C10/20))*20</f>
        <v>320</v>
      </c>
      <c r="G10" s="936">
        <f>12+12</f>
        <v>24</v>
      </c>
      <c r="H10" s="937">
        <v>0.15</v>
      </c>
      <c r="I10" s="937"/>
      <c r="J10" s="937">
        <f>G10*F10</f>
        <v>7680</v>
      </c>
      <c r="K10" s="936">
        <f>ROUND(J10*H10,2)</f>
        <v>1152</v>
      </c>
      <c r="L10" s="936">
        <f>[16]Desmat!F44</f>
        <v>0</v>
      </c>
      <c r="M10" s="936">
        <f>L10+K10</f>
        <v>1152</v>
      </c>
      <c r="N10" s="938">
        <f>ROUND(M10*1.3*9.8,2)</f>
        <v>14676.48</v>
      </c>
      <c r="P10" s="939"/>
    </row>
    <row r="11" spans="1:16" s="902" customFormat="1" ht="33" customHeight="1">
      <c r="A11" s="933"/>
      <c r="B11" s="940"/>
      <c r="C11" s="941"/>
      <c r="D11" s="940"/>
      <c r="E11" s="941"/>
      <c r="F11" s="936"/>
      <c r="G11" s="942"/>
      <c r="H11" s="937"/>
      <c r="I11" s="937">
        <f>G11*F11</f>
        <v>0</v>
      </c>
      <c r="J11" s="937">
        <f>G11*F11</f>
        <v>0</v>
      </c>
      <c r="K11" s="936">
        <f>ROUND(I11*H11,2)</f>
        <v>0</v>
      </c>
      <c r="L11" s="936"/>
      <c r="M11" s="936">
        <f>L11+K11</f>
        <v>0</v>
      </c>
      <c r="N11" s="938">
        <f>ROUND(M11*1.3*9.8,2)</f>
        <v>0</v>
      </c>
      <c r="P11" s="939"/>
    </row>
    <row r="12" spans="1:16" s="902" customFormat="1" ht="33" customHeight="1" thickBot="1">
      <c r="A12" s="943"/>
      <c r="B12" s="944"/>
      <c r="C12" s="945"/>
      <c r="D12" s="944"/>
      <c r="E12" s="945"/>
      <c r="F12" s="942"/>
      <c r="G12" s="942"/>
      <c r="H12" s="946"/>
      <c r="I12" s="946"/>
      <c r="J12" s="946"/>
      <c r="K12" s="942"/>
      <c r="L12" s="942"/>
      <c r="M12" s="942"/>
      <c r="N12" s="947">
        <f>ROUND(M12*1.3*6.4,2)</f>
        <v>0</v>
      </c>
      <c r="P12" s="939"/>
    </row>
    <row r="13" spans="1:16" ht="21.75" customHeight="1" thickBot="1">
      <c r="A13" s="1926" t="s">
        <v>22</v>
      </c>
      <c r="B13" s="1927"/>
      <c r="C13" s="1927"/>
      <c r="D13" s="1927"/>
      <c r="E13" s="1928"/>
      <c r="F13" s="948">
        <f>SUM(F10:F12)</f>
        <v>320</v>
      </c>
      <c r="G13" s="948"/>
      <c r="H13" s="948"/>
      <c r="I13" s="948">
        <f t="shared" ref="I13:N13" si="0">SUM(I10:I12)</f>
        <v>0</v>
      </c>
      <c r="J13" s="948">
        <f t="shared" si="0"/>
        <v>7680</v>
      </c>
      <c r="K13" s="948">
        <f t="shared" si="0"/>
        <v>1152</v>
      </c>
      <c r="L13" s="948">
        <f t="shared" si="0"/>
        <v>0</v>
      </c>
      <c r="M13" s="948">
        <f t="shared" si="0"/>
        <v>1152</v>
      </c>
      <c r="N13" s="949">
        <f t="shared" si="0"/>
        <v>14676.48</v>
      </c>
    </row>
    <row r="14" spans="1:16" ht="33" customHeight="1" thickBot="1">
      <c r="A14" s="1929" t="s">
        <v>1454</v>
      </c>
      <c r="B14" s="1930"/>
      <c r="C14" s="1930"/>
      <c r="D14" s="1930"/>
      <c r="E14" s="1930"/>
      <c r="F14" s="1930"/>
      <c r="G14" s="1930"/>
      <c r="H14" s="1930"/>
      <c r="I14" s="1930"/>
      <c r="J14" s="1930"/>
      <c r="K14" s="1930"/>
      <c r="L14" s="1930"/>
      <c r="M14" s="1930"/>
      <c r="N14" s="1931"/>
    </row>
    <row r="28" spans="2:7">
      <c r="B28" s="950"/>
      <c r="C28" s="950"/>
      <c r="D28" s="950"/>
      <c r="E28" s="951"/>
      <c r="F28" s="951"/>
      <c r="G28" s="951"/>
    </row>
    <row r="29" spans="2:7">
      <c r="B29" s="1932"/>
      <c r="C29" s="951"/>
      <c r="D29" s="951"/>
      <c r="E29" s="952"/>
      <c r="F29" s="952"/>
      <c r="G29" s="952"/>
    </row>
    <row r="30" spans="2:7">
      <c r="B30" s="1932"/>
      <c r="C30" s="951"/>
      <c r="D30" s="951"/>
      <c r="E30" s="952"/>
      <c r="F30" s="952"/>
      <c r="G30" s="952"/>
    </row>
    <row r="31" spans="2:7">
      <c r="B31" s="1932"/>
      <c r="C31" s="951"/>
      <c r="D31" s="951"/>
      <c r="E31" s="952"/>
      <c r="F31" s="952"/>
      <c r="G31" s="952"/>
    </row>
    <row r="34" spans="2:7">
      <c r="B34" s="950"/>
      <c r="C34" s="950"/>
      <c r="D34" s="950"/>
      <c r="E34" s="951"/>
      <c r="F34" s="951"/>
      <c r="G34" s="950"/>
    </row>
    <row r="35" spans="2:7">
      <c r="B35" s="950"/>
      <c r="C35" s="953"/>
      <c r="D35" s="953"/>
      <c r="E35" s="951"/>
      <c r="F35" s="951"/>
      <c r="G35" s="950"/>
    </row>
    <row r="36" spans="2:7">
      <c r="B36" s="950"/>
      <c r="C36" s="951"/>
      <c r="D36" s="950"/>
      <c r="E36" s="954"/>
      <c r="F36" s="955"/>
      <c r="G36" s="950"/>
    </row>
    <row r="37" spans="2:7">
      <c r="B37" s="950"/>
      <c r="C37" s="951"/>
      <c r="D37" s="950"/>
      <c r="E37" s="954"/>
      <c r="F37" s="955"/>
      <c r="G37" s="950"/>
    </row>
    <row r="38" spans="2:7">
      <c r="B38" s="950"/>
      <c r="C38" s="951"/>
      <c r="D38" s="950"/>
      <c r="E38" s="954"/>
      <c r="F38" s="955"/>
      <c r="G38" s="950"/>
    </row>
  </sheetData>
  <mergeCells count="19">
    <mergeCell ref="A13:E13"/>
    <mergeCell ref="A14:N14"/>
    <mergeCell ref="B29:B31"/>
    <mergeCell ref="J6:J7"/>
    <mergeCell ref="K6:M6"/>
    <mergeCell ref="N6:N7"/>
    <mergeCell ref="B8:C8"/>
    <mergeCell ref="D8:E8"/>
    <mergeCell ref="B9:E9"/>
    <mergeCell ref="B1:N1"/>
    <mergeCell ref="A2:N2"/>
    <mergeCell ref="A3:N3"/>
    <mergeCell ref="A4:N5"/>
    <mergeCell ref="A6:A8"/>
    <mergeCell ref="B6:E7"/>
    <mergeCell ref="F6:F7"/>
    <mergeCell ref="G6:G7"/>
    <mergeCell ref="H6:H7"/>
    <mergeCell ref="I6:I7"/>
  </mergeCells>
  <printOptions horizontalCentered="1"/>
  <pageMargins left="0" right="0" top="0.9055118110236221" bottom="0.27559055118110237" header="0.35433070866141736" footer="0.27559055118110237"/>
  <pageSetup paperSize="9" scale="62" orientation="landscape" horizontalDpi="4294967293"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JG97"/>
  <sheetViews>
    <sheetView tabSelected="1" view="pageBreakPreview" topLeftCell="A55" zoomScale="70" zoomScaleNormal="85" zoomScaleSheetLayoutView="70" workbookViewId="0">
      <selection activeCell="A16" sqref="A16:A17"/>
    </sheetView>
  </sheetViews>
  <sheetFormatPr defaultColWidth="12" defaultRowHeight="14.25"/>
  <cols>
    <col min="1" max="1" width="8.28515625" style="108" customWidth="1"/>
    <col min="2" max="2" width="29.42578125" style="108" customWidth="1"/>
    <col min="3" max="3" width="12.28515625" style="108" bestFit="1" customWidth="1"/>
    <col min="4" max="4" width="30.140625" style="108" bestFit="1" customWidth="1"/>
    <col min="5" max="5" width="12.7109375" style="108" customWidth="1"/>
    <col min="6" max="6" width="16.85546875" style="108" bestFit="1" customWidth="1"/>
    <col min="7" max="7" width="12.7109375" style="108" customWidth="1"/>
    <col min="8" max="8" width="17.28515625" style="108" bestFit="1" customWidth="1"/>
    <col min="9" max="9" width="12.7109375" style="108" customWidth="1"/>
    <col min="10" max="10" width="14.42578125" style="108" bestFit="1" customWidth="1"/>
    <col min="11" max="11" width="12.7109375" style="108" customWidth="1"/>
    <col min="12" max="12" width="14.42578125" style="108" bestFit="1" customWidth="1"/>
    <col min="13" max="13" width="12.7109375" style="108" customWidth="1"/>
    <col min="14" max="14" width="14.42578125" style="108" bestFit="1" customWidth="1"/>
    <col min="15" max="15" width="12.7109375" style="108" customWidth="1"/>
    <col min="16" max="16" width="14.42578125" style="108" bestFit="1" customWidth="1"/>
    <col min="17" max="17" width="12.7109375" style="108" customWidth="1"/>
    <col min="18" max="18" width="14.42578125" style="108" bestFit="1" customWidth="1"/>
    <col min="19" max="19" width="12.7109375" style="108" customWidth="1"/>
    <col min="20" max="20" width="17.28515625" style="108" bestFit="1" customWidth="1"/>
    <col min="21" max="21" width="12.7109375" style="108" customWidth="1"/>
    <col min="22" max="22" width="17.7109375" style="108" bestFit="1" customWidth="1"/>
    <col min="23" max="23" width="12.7109375" style="108" customWidth="1"/>
    <col min="24" max="24" width="17.7109375" style="108" bestFit="1" customWidth="1"/>
    <col min="25" max="25" width="12.7109375" style="108" customWidth="1"/>
    <col min="26" max="26" width="17.28515625" style="108" bestFit="1" customWidth="1"/>
    <col min="27" max="27" width="12.7109375" style="108" customWidth="1"/>
    <col min="28" max="28" width="17.7109375" style="108" bestFit="1" customWidth="1"/>
    <col min="29" max="29" width="11.85546875" style="108" bestFit="1" customWidth="1"/>
    <col min="30" max="30" width="14.140625" style="108" bestFit="1" customWidth="1"/>
    <col min="31" max="263" width="9.28515625" style="108" customWidth="1"/>
    <col min="264" max="264" width="8.28515625" style="108" customWidth="1"/>
    <col min="265" max="265" width="31.28515625" style="108" customWidth="1"/>
    <col min="266" max="266" width="8.28515625" style="108" customWidth="1"/>
    <col min="267" max="267" width="12" style="108" customWidth="1"/>
    <col min="268" max="16384" width="12" style="88"/>
  </cols>
  <sheetData>
    <row r="1" spans="1:267" ht="20.100000000000001" customHeight="1">
      <c r="A1" s="1962"/>
      <c r="B1" s="1963"/>
      <c r="C1" s="1963"/>
      <c r="D1" s="1963"/>
      <c r="E1" s="1963"/>
      <c r="F1" s="1963"/>
      <c r="G1" s="1963"/>
      <c r="H1" s="1963"/>
      <c r="I1" s="1963"/>
      <c r="J1" s="1963"/>
      <c r="K1" s="1963"/>
      <c r="L1" s="1963"/>
      <c r="M1" s="1963"/>
      <c r="N1" s="1963"/>
      <c r="O1" s="1963"/>
      <c r="P1" s="1963"/>
      <c r="Q1" s="1963"/>
      <c r="R1" s="1963"/>
      <c r="S1" s="1963"/>
      <c r="T1" s="1963"/>
      <c r="U1" s="1963"/>
      <c r="V1" s="1963"/>
      <c r="W1" s="1963"/>
      <c r="X1" s="1963"/>
      <c r="Y1" s="1963"/>
      <c r="Z1" s="1963"/>
      <c r="AA1" s="1963"/>
      <c r="AB1" s="1964"/>
    </row>
    <row r="2" spans="1:267" ht="20.100000000000001" customHeight="1">
      <c r="A2" s="1965"/>
      <c r="B2" s="1966"/>
      <c r="C2" s="1966"/>
      <c r="D2" s="1966"/>
      <c r="E2" s="1966"/>
      <c r="F2" s="1966"/>
      <c r="G2" s="1966"/>
      <c r="H2" s="1966"/>
      <c r="I2" s="1966"/>
      <c r="J2" s="1966"/>
      <c r="K2" s="1966"/>
      <c r="L2" s="1966"/>
      <c r="M2" s="1966"/>
      <c r="N2" s="1966"/>
      <c r="O2" s="1966"/>
      <c r="P2" s="1966"/>
      <c r="Q2" s="1966"/>
      <c r="R2" s="1966"/>
      <c r="S2" s="1966"/>
      <c r="T2" s="1966"/>
      <c r="U2" s="1966"/>
      <c r="V2" s="1966"/>
      <c r="W2" s="1966"/>
      <c r="X2" s="1966"/>
      <c r="Y2" s="1966"/>
      <c r="Z2" s="1966"/>
      <c r="AA2" s="1966"/>
      <c r="AB2" s="1967"/>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c r="IV2" s="113"/>
      <c r="IW2" s="113"/>
      <c r="IX2" s="113"/>
      <c r="IY2" s="113"/>
      <c r="IZ2" s="113"/>
      <c r="JA2" s="113"/>
      <c r="JB2" s="113"/>
      <c r="JC2" s="113"/>
      <c r="JD2" s="113"/>
      <c r="JE2" s="113"/>
      <c r="JF2" s="113"/>
      <c r="JG2" s="113"/>
    </row>
    <row r="3" spans="1:267" ht="20.100000000000001" customHeight="1">
      <c r="A3" s="1965"/>
      <c r="B3" s="1966"/>
      <c r="C3" s="1966"/>
      <c r="D3" s="1966"/>
      <c r="E3" s="1966"/>
      <c r="F3" s="1966"/>
      <c r="G3" s="1966"/>
      <c r="H3" s="1966"/>
      <c r="I3" s="1966"/>
      <c r="J3" s="1966"/>
      <c r="K3" s="1966"/>
      <c r="L3" s="1966"/>
      <c r="M3" s="1966"/>
      <c r="N3" s="1966"/>
      <c r="O3" s="1966"/>
      <c r="P3" s="1966"/>
      <c r="Q3" s="1966"/>
      <c r="R3" s="1966"/>
      <c r="S3" s="1966"/>
      <c r="T3" s="1966"/>
      <c r="U3" s="1966"/>
      <c r="V3" s="1966"/>
      <c r="W3" s="1966"/>
      <c r="X3" s="1966"/>
      <c r="Y3" s="1966"/>
      <c r="Z3" s="1966"/>
      <c r="AA3" s="1966"/>
      <c r="AB3" s="1967"/>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c r="IV3" s="113"/>
      <c r="IW3" s="113"/>
      <c r="IX3" s="113"/>
      <c r="IY3" s="113"/>
      <c r="IZ3" s="113"/>
      <c r="JA3" s="113"/>
      <c r="JB3" s="113"/>
      <c r="JC3" s="113"/>
      <c r="JD3" s="113"/>
      <c r="JE3" s="113"/>
      <c r="JF3" s="113"/>
      <c r="JG3" s="113"/>
    </row>
    <row r="4" spans="1:267" ht="20.100000000000001" customHeight="1">
      <c r="A4" s="1974" t="s">
        <v>18</v>
      </c>
      <c r="B4" s="1975"/>
      <c r="C4" s="1975"/>
      <c r="D4" s="1975"/>
      <c r="E4" s="1975"/>
      <c r="F4" s="1975"/>
      <c r="G4" s="1975"/>
      <c r="H4" s="1975"/>
      <c r="I4" s="1975"/>
      <c r="J4" s="1975"/>
      <c r="K4" s="1975"/>
      <c r="L4" s="1975"/>
      <c r="M4" s="1975"/>
      <c r="N4" s="1975"/>
      <c r="O4" s="1975"/>
      <c r="P4" s="1975"/>
      <c r="Q4" s="1975"/>
      <c r="R4" s="1975"/>
      <c r="S4" s="1975"/>
      <c r="T4" s="1975"/>
      <c r="U4" s="1975"/>
      <c r="V4" s="1975"/>
      <c r="W4" s="1975"/>
      <c r="X4" s="1975"/>
      <c r="Y4" s="1975"/>
      <c r="Z4" s="1975"/>
      <c r="AA4" s="1975"/>
      <c r="AB4" s="1976"/>
    </row>
    <row r="5" spans="1:267" ht="20.100000000000001" customHeight="1">
      <c r="A5" s="1977" t="s">
        <v>187</v>
      </c>
      <c r="B5" s="1978"/>
      <c r="C5" s="1978"/>
      <c r="D5" s="1978"/>
      <c r="E5" s="1978"/>
      <c r="F5" s="1978"/>
      <c r="G5" s="1978"/>
      <c r="H5" s="1978"/>
      <c r="I5" s="1978"/>
      <c r="J5" s="1978"/>
      <c r="K5" s="1978"/>
      <c r="L5" s="1978"/>
      <c r="M5" s="1978"/>
      <c r="N5" s="1978"/>
      <c r="O5" s="1978"/>
      <c r="P5" s="1978"/>
      <c r="Q5" s="1978"/>
      <c r="R5" s="1978"/>
      <c r="S5" s="1978"/>
      <c r="T5" s="1978"/>
      <c r="U5" s="1978"/>
      <c r="V5" s="1978"/>
      <c r="W5" s="1978"/>
      <c r="X5" s="1978"/>
      <c r="Y5" s="1978"/>
      <c r="Z5" s="1978"/>
      <c r="AA5" s="1978"/>
      <c r="AB5" s="1979"/>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c r="IR5" s="113"/>
      <c r="IS5" s="113"/>
      <c r="IT5" s="113"/>
      <c r="IU5" s="113"/>
      <c r="IV5" s="113"/>
      <c r="IW5" s="113"/>
      <c r="IX5" s="113"/>
      <c r="IY5" s="113"/>
      <c r="IZ5" s="113"/>
      <c r="JA5" s="113"/>
      <c r="JB5" s="113"/>
      <c r="JC5" s="113"/>
      <c r="JD5" s="113"/>
      <c r="JE5" s="113"/>
      <c r="JF5" s="113"/>
      <c r="JG5" s="113"/>
    </row>
    <row r="6" spans="1:267" ht="20.100000000000001" customHeight="1">
      <c r="A6" s="1980" t="s">
        <v>17</v>
      </c>
      <c r="B6" s="1981"/>
      <c r="C6" s="1981"/>
      <c r="D6" s="1981"/>
      <c r="E6" s="1981"/>
      <c r="F6" s="1981"/>
      <c r="G6" s="1981"/>
      <c r="H6" s="1981"/>
      <c r="I6" s="1981"/>
      <c r="J6" s="1981"/>
      <c r="K6" s="1981"/>
      <c r="L6" s="1981"/>
      <c r="M6" s="1981"/>
      <c r="N6" s="1981"/>
      <c r="O6" s="1981"/>
      <c r="P6" s="1981"/>
      <c r="Q6" s="1981"/>
      <c r="R6" s="1981"/>
      <c r="S6" s="1981"/>
      <c r="T6" s="1981"/>
      <c r="U6" s="1981"/>
      <c r="V6" s="1981"/>
      <c r="W6" s="1981"/>
      <c r="X6" s="1981"/>
      <c r="Y6" s="1981"/>
      <c r="Z6" s="1981"/>
      <c r="AA6" s="1981"/>
      <c r="AB6" s="1982"/>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c r="IR6" s="113"/>
      <c r="IS6" s="113"/>
      <c r="IT6" s="113"/>
      <c r="IU6" s="113"/>
      <c r="IV6" s="113"/>
      <c r="IW6" s="113"/>
      <c r="IX6" s="113"/>
      <c r="IY6" s="113"/>
      <c r="IZ6" s="113"/>
      <c r="JA6" s="113"/>
      <c r="JB6" s="113"/>
      <c r="JC6" s="113"/>
      <c r="JD6" s="113"/>
      <c r="JE6" s="113"/>
      <c r="JF6" s="113"/>
      <c r="JG6" s="113"/>
    </row>
    <row r="7" spans="1:267" ht="20.100000000000001" customHeight="1">
      <c r="A7" s="1980"/>
      <c r="B7" s="1981"/>
      <c r="C7" s="1981"/>
      <c r="D7" s="1981"/>
      <c r="E7" s="1981"/>
      <c r="F7" s="1981"/>
      <c r="G7" s="1981"/>
      <c r="H7" s="1981"/>
      <c r="I7" s="1981"/>
      <c r="J7" s="1981"/>
      <c r="K7" s="1981"/>
      <c r="L7" s="1981"/>
      <c r="M7" s="1981"/>
      <c r="N7" s="1981"/>
      <c r="O7" s="1981"/>
      <c r="P7" s="1981"/>
      <c r="Q7" s="1981"/>
      <c r="R7" s="1981"/>
      <c r="S7" s="1981"/>
      <c r="T7" s="1981"/>
      <c r="U7" s="1981"/>
      <c r="V7" s="1981"/>
      <c r="W7" s="1981"/>
      <c r="X7" s="1981"/>
      <c r="Y7" s="1981"/>
      <c r="Z7" s="1981"/>
      <c r="AA7" s="1981"/>
      <c r="AB7" s="1982"/>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row>
    <row r="8" spans="1:267" ht="38.25" customHeight="1">
      <c r="A8" s="409" t="s">
        <v>567</v>
      </c>
      <c r="B8" s="1983" t="str">
        <f>'PLANILHA GERAL'!D9</f>
        <v>OBRAS DE PREVENÇÕES DE ALAGAMENTOS E CHEIAS, INFRAESTRUTURA URBANA E CONSTRUÇÕES DIVERSAS NO MUNICÍPIO DE ANANINDEUA/PA</v>
      </c>
      <c r="C8" s="1983"/>
      <c r="D8" s="1983"/>
      <c r="E8" s="1983"/>
      <c r="F8" s="1983"/>
      <c r="G8" s="1983"/>
      <c r="H8" s="1983"/>
      <c r="I8" s="1983"/>
      <c r="J8" s="1983"/>
      <c r="K8" s="1983"/>
      <c r="L8" s="1983"/>
      <c r="M8" s="1983"/>
      <c r="N8" s="1983"/>
      <c r="O8" s="1983"/>
      <c r="P8" s="1983"/>
      <c r="Q8" s="1983"/>
      <c r="R8" s="1983"/>
      <c r="S8" s="1983"/>
      <c r="T8" s="1983"/>
      <c r="U8" s="1983"/>
      <c r="V8" s="1983"/>
      <c r="W8" s="1983"/>
      <c r="X8" s="1983"/>
      <c r="Y8" s="1983"/>
      <c r="Z8" s="1983"/>
      <c r="AA8" s="1983"/>
      <c r="AB8" s="1984"/>
    </row>
    <row r="9" spans="1:267" ht="15" thickBot="1">
      <c r="A9" s="1985"/>
      <c r="B9" s="1986"/>
      <c r="C9" s="1986"/>
      <c r="D9" s="1986"/>
      <c r="E9" s="1986"/>
      <c r="F9" s="1986"/>
      <c r="G9" s="1986"/>
      <c r="H9" s="1986"/>
      <c r="I9" s="1986"/>
      <c r="J9" s="1986"/>
      <c r="K9" s="1986"/>
      <c r="L9" s="1986"/>
      <c r="M9" s="1986"/>
      <c r="N9" s="1986"/>
      <c r="O9" s="1986"/>
      <c r="P9" s="1986"/>
      <c r="Q9" s="1986"/>
      <c r="R9" s="1986"/>
      <c r="S9" s="1986"/>
      <c r="T9" s="1986"/>
      <c r="U9" s="1986"/>
      <c r="V9" s="1986"/>
      <c r="W9" s="1986"/>
      <c r="X9" s="1986"/>
      <c r="Y9" s="1986"/>
      <c r="Z9" s="1986"/>
      <c r="AA9" s="1986"/>
      <c r="AB9" s="1987"/>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row>
    <row r="10" spans="1:267" ht="18.75" thickTop="1" thickBot="1">
      <c r="A10" s="1968" t="s">
        <v>206</v>
      </c>
      <c r="B10" s="1969"/>
      <c r="C10" s="1969"/>
      <c r="D10" s="1969"/>
      <c r="E10" s="1969"/>
      <c r="F10" s="1969"/>
      <c r="G10" s="1969"/>
      <c r="H10" s="1969"/>
      <c r="I10" s="1969"/>
      <c r="J10" s="1969"/>
      <c r="K10" s="1969"/>
      <c r="L10" s="1969"/>
      <c r="M10" s="1969"/>
      <c r="N10" s="1969"/>
      <c r="O10" s="1969"/>
      <c r="P10" s="1969"/>
      <c r="Q10" s="1969"/>
      <c r="R10" s="1969"/>
      <c r="S10" s="1969"/>
      <c r="T10" s="1969"/>
      <c r="U10" s="1969"/>
      <c r="V10" s="1969"/>
      <c r="W10" s="1969"/>
      <c r="X10" s="1969"/>
      <c r="Y10" s="1969"/>
      <c r="Z10" s="1969"/>
      <c r="AA10" s="1969"/>
      <c r="AB10" s="1970"/>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row>
    <row r="11" spans="1:267" ht="15" thickTop="1">
      <c r="A11" s="1971"/>
      <c r="B11" s="1972"/>
      <c r="C11" s="1972"/>
      <c r="D11" s="1972"/>
      <c r="E11" s="1972"/>
      <c r="F11" s="1972"/>
      <c r="G11" s="1972"/>
      <c r="H11" s="1972"/>
      <c r="I11" s="1972"/>
      <c r="J11" s="1972"/>
      <c r="K11" s="1972"/>
      <c r="L11" s="1972"/>
      <c r="M11" s="1972"/>
      <c r="N11" s="1972"/>
      <c r="O11" s="1972"/>
      <c r="P11" s="1972"/>
      <c r="Q11" s="1972"/>
      <c r="R11" s="1972"/>
      <c r="S11" s="1972"/>
      <c r="T11" s="1972"/>
      <c r="U11" s="1972"/>
      <c r="V11" s="1972"/>
      <c r="W11" s="1972"/>
      <c r="X11" s="1972"/>
      <c r="Y11" s="1972"/>
      <c r="Z11" s="1972"/>
      <c r="AA11" s="1972"/>
      <c r="AB11" s="1973"/>
    </row>
    <row r="12" spans="1:267" ht="15" thickBot="1">
      <c r="A12" s="1971"/>
      <c r="B12" s="1972"/>
      <c r="C12" s="1972"/>
      <c r="D12" s="1972"/>
      <c r="E12" s="1972"/>
      <c r="F12" s="1972"/>
      <c r="G12" s="1972"/>
      <c r="H12" s="1972"/>
      <c r="I12" s="1972"/>
      <c r="J12" s="1972"/>
      <c r="K12" s="1972"/>
      <c r="L12" s="1972"/>
      <c r="M12" s="1972"/>
      <c r="N12" s="1972"/>
      <c r="O12" s="1972"/>
      <c r="P12" s="1972"/>
      <c r="Q12" s="1972"/>
      <c r="R12" s="1972"/>
      <c r="S12" s="1972"/>
      <c r="T12" s="1972"/>
      <c r="U12" s="1972"/>
      <c r="V12" s="1972"/>
      <c r="W12" s="1972"/>
      <c r="X12" s="1972"/>
      <c r="Y12" s="1972"/>
      <c r="Z12" s="1972"/>
      <c r="AA12" s="1972"/>
      <c r="AB12" s="1973"/>
    </row>
    <row r="13" spans="1:267" s="235" customFormat="1" ht="23.25" customHeight="1" thickBot="1">
      <c r="A13" s="1949" t="s">
        <v>6</v>
      </c>
      <c r="B13" s="1950" t="s">
        <v>207</v>
      </c>
      <c r="C13" s="1950" t="s">
        <v>208</v>
      </c>
      <c r="D13" s="1952" t="s">
        <v>209</v>
      </c>
      <c r="E13" s="1959" t="s">
        <v>1839</v>
      </c>
      <c r="F13" s="1960"/>
      <c r="G13" s="1960"/>
      <c r="H13" s="1960"/>
      <c r="I13" s="1960"/>
      <c r="J13" s="1960"/>
      <c r="K13" s="1960"/>
      <c r="L13" s="1960"/>
      <c r="M13" s="1960"/>
      <c r="N13" s="1960"/>
      <c r="O13" s="1960"/>
      <c r="P13" s="1960"/>
      <c r="Q13" s="1960"/>
      <c r="R13" s="1960"/>
      <c r="S13" s="1960"/>
      <c r="T13" s="1960"/>
      <c r="U13" s="1960"/>
      <c r="V13" s="1960"/>
      <c r="W13" s="1960"/>
      <c r="X13" s="1960"/>
      <c r="Y13" s="1960"/>
      <c r="Z13" s="1960"/>
      <c r="AA13" s="1960"/>
      <c r="AB13" s="1961"/>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row>
    <row r="14" spans="1:267" s="235" customFormat="1" ht="23.25" customHeight="1">
      <c r="A14" s="1943"/>
      <c r="B14" s="1951" t="s">
        <v>207</v>
      </c>
      <c r="C14" s="1951" t="s">
        <v>210</v>
      </c>
      <c r="D14" s="1953"/>
      <c r="E14" s="1988">
        <v>1</v>
      </c>
      <c r="F14" s="1948"/>
      <c r="G14" s="1947">
        <v>2</v>
      </c>
      <c r="H14" s="1948"/>
      <c r="I14" s="1947">
        <v>3</v>
      </c>
      <c r="J14" s="1948"/>
      <c r="K14" s="1947">
        <v>4</v>
      </c>
      <c r="L14" s="1948"/>
      <c r="M14" s="1947">
        <v>5</v>
      </c>
      <c r="N14" s="1948"/>
      <c r="O14" s="1947">
        <v>6</v>
      </c>
      <c r="P14" s="1948"/>
      <c r="Q14" s="1947">
        <v>7</v>
      </c>
      <c r="R14" s="1948"/>
      <c r="S14" s="1947">
        <v>8</v>
      </c>
      <c r="T14" s="1948"/>
      <c r="U14" s="1947">
        <v>9</v>
      </c>
      <c r="V14" s="1948"/>
      <c r="W14" s="1947">
        <v>10</v>
      </c>
      <c r="X14" s="1948"/>
      <c r="Y14" s="1947">
        <v>11</v>
      </c>
      <c r="Z14" s="1948"/>
      <c r="AA14" s="1947">
        <v>12</v>
      </c>
      <c r="AB14" s="1948"/>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row>
    <row r="15" spans="1:267">
      <c r="A15" s="1943"/>
      <c r="B15" s="1951"/>
      <c r="C15" s="1951"/>
      <c r="D15" s="1953"/>
      <c r="E15" s="383" t="s">
        <v>210</v>
      </c>
      <c r="F15" s="384" t="s">
        <v>211</v>
      </c>
      <c r="G15" s="385" t="s">
        <v>210</v>
      </c>
      <c r="H15" s="384" t="s">
        <v>211</v>
      </c>
      <c r="I15" s="385" t="s">
        <v>210</v>
      </c>
      <c r="J15" s="384" t="s">
        <v>211</v>
      </c>
      <c r="K15" s="385" t="s">
        <v>210</v>
      </c>
      <c r="L15" s="384" t="s">
        <v>211</v>
      </c>
      <c r="M15" s="385" t="s">
        <v>210</v>
      </c>
      <c r="N15" s="384" t="s">
        <v>211</v>
      </c>
      <c r="O15" s="385" t="s">
        <v>210</v>
      </c>
      <c r="P15" s="384" t="s">
        <v>211</v>
      </c>
      <c r="Q15" s="385" t="s">
        <v>210</v>
      </c>
      <c r="R15" s="384" t="s">
        <v>211</v>
      </c>
      <c r="S15" s="385" t="s">
        <v>210</v>
      </c>
      <c r="T15" s="384" t="s">
        <v>211</v>
      </c>
      <c r="U15" s="385" t="s">
        <v>210</v>
      </c>
      <c r="V15" s="384" t="s">
        <v>211</v>
      </c>
      <c r="W15" s="385" t="s">
        <v>210</v>
      </c>
      <c r="X15" s="384" t="s">
        <v>211</v>
      </c>
      <c r="Y15" s="385" t="s">
        <v>210</v>
      </c>
      <c r="Z15" s="384" t="s">
        <v>211</v>
      </c>
      <c r="AA15" s="385" t="s">
        <v>210</v>
      </c>
      <c r="AB15" s="384" t="s">
        <v>211</v>
      </c>
    </row>
    <row r="16" spans="1:267" ht="30" customHeight="1">
      <c r="A16" s="1943">
        <f>'PLANILHA GERAL'!C17</f>
        <v>1</v>
      </c>
      <c r="B16" s="1946" t="str">
        <f>'PLANILHA GERAL'!F17</f>
        <v>SERVIÇOS PRELIMINARES</v>
      </c>
      <c r="C16" s="1944">
        <f>D16/$D$38</f>
        <v>4.1000000000000003E-3</v>
      </c>
      <c r="D16" s="1945">
        <f>ROUNDDOWN('PLANILHA GERAL'!K23/2,2)</f>
        <v>121249.82</v>
      </c>
      <c r="E16" s="387">
        <v>0.1</v>
      </c>
      <c r="F16" s="388">
        <f>ROUND($D16*E16,2)</f>
        <v>12124.98</v>
      </c>
      <c r="G16" s="389">
        <v>0.1</v>
      </c>
      <c r="H16" s="388">
        <f>ROUND($D16*G16,2)</f>
        <v>12124.98</v>
      </c>
      <c r="I16" s="389">
        <v>0.08</v>
      </c>
      <c r="J16" s="388">
        <f>ROUND($D16*I16,2)</f>
        <v>9699.99</v>
      </c>
      <c r="K16" s="389">
        <v>0.08</v>
      </c>
      <c r="L16" s="388">
        <f>ROUND($D16*K16,2)</f>
        <v>9699.99</v>
      </c>
      <c r="M16" s="389">
        <v>0.08</v>
      </c>
      <c r="N16" s="388">
        <f>ROUND($D16*M16,2)</f>
        <v>9699.99</v>
      </c>
      <c r="O16" s="389">
        <v>0.08</v>
      </c>
      <c r="P16" s="388">
        <f>ROUND($D16*O16,2)</f>
        <v>9699.99</v>
      </c>
      <c r="Q16" s="389">
        <v>0.08</v>
      </c>
      <c r="R16" s="388">
        <f>ROUND($D16*Q16,2)</f>
        <v>9699.99</v>
      </c>
      <c r="S16" s="389">
        <v>0.08</v>
      </c>
      <c r="T16" s="388">
        <f>ROUND($D16*S16,2)</f>
        <v>9699.99</v>
      </c>
      <c r="U16" s="389">
        <v>0.08</v>
      </c>
      <c r="V16" s="388">
        <f>ROUNDDOWN($D16*U16,2)</f>
        <v>9699.98</v>
      </c>
      <c r="W16" s="389">
        <v>0.08</v>
      </c>
      <c r="X16" s="388">
        <f>ROUNDDOWN($D16*W16,2)</f>
        <v>9699.98</v>
      </c>
      <c r="Y16" s="389">
        <v>0.08</v>
      </c>
      <c r="Z16" s="388">
        <f>ROUNDDOWN($D16*Y16,2)</f>
        <v>9699.98</v>
      </c>
      <c r="AA16" s="389">
        <v>0.08</v>
      </c>
      <c r="AB16" s="388">
        <f>ROUNDDOWN($D16*AA16,2)</f>
        <v>9699.98</v>
      </c>
      <c r="AC16" s="390">
        <f>SUM(AA16,Y16,W16,U16,S16,Q16,O16,M16,K16,I16,G16,E16)</f>
        <v>1</v>
      </c>
      <c r="AD16" s="1353">
        <f>SUM(AB16,Z16,X16,V16,T16,R16,P16,N16,L16,J16,H16,F16)</f>
        <v>121249.82</v>
      </c>
      <c r="AE16" s="540">
        <f>AD16-D16</f>
        <v>0</v>
      </c>
    </row>
    <row r="17" spans="1:31">
      <c r="A17" s="1943"/>
      <c r="B17" s="1946"/>
      <c r="C17" s="1944"/>
      <c r="D17" s="1945"/>
      <c r="E17" s="391"/>
      <c r="F17" s="392"/>
      <c r="G17" s="393"/>
      <c r="H17" s="392"/>
      <c r="I17" s="394"/>
      <c r="J17" s="392"/>
      <c r="K17" s="394"/>
      <c r="L17" s="392"/>
      <c r="M17" s="394"/>
      <c r="N17" s="392"/>
      <c r="O17" s="394"/>
      <c r="P17" s="392"/>
      <c r="Q17" s="394"/>
      <c r="R17" s="392"/>
      <c r="S17" s="394"/>
      <c r="T17" s="392"/>
      <c r="U17" s="394"/>
      <c r="V17" s="392"/>
      <c r="W17" s="394"/>
      <c r="X17" s="392"/>
      <c r="Y17" s="394"/>
      <c r="Z17" s="392"/>
      <c r="AA17" s="394"/>
      <c r="AB17" s="392"/>
      <c r="AC17" s="390">
        <f t="shared" ref="AC17:AC31" si="0">E17+G17+I17+K17+M17+AA17</f>
        <v>0</v>
      </c>
    </row>
    <row r="18" spans="1:31" ht="30" customHeight="1">
      <c r="A18" s="1943">
        <f>'PLANILHA GERAL'!C24</f>
        <v>2</v>
      </c>
      <c r="B18" s="1946" t="str">
        <f>'PLANILHA GERAL'!F24</f>
        <v>DEMOLIÇÕES E RETIRADAS</v>
      </c>
      <c r="C18" s="1944">
        <f>D18/$D$38</f>
        <v>1.8100000000000002E-2</v>
      </c>
      <c r="D18" s="1945">
        <f>ROUNDDOWN('PLANILHA GERAL'!K41/2,2)</f>
        <v>535172.18000000005</v>
      </c>
      <c r="E18" s="395">
        <v>0.1</v>
      </c>
      <c r="F18" s="388">
        <f>ROUND($D18*E18,2)</f>
        <v>53517.22</v>
      </c>
      <c r="G18" s="395">
        <v>0.1</v>
      </c>
      <c r="H18" s="388">
        <f>ROUND($D18*G18,2)</f>
        <v>53517.22</v>
      </c>
      <c r="I18" s="395">
        <v>0.1</v>
      </c>
      <c r="J18" s="388">
        <f>ROUND($D18*I18,2)</f>
        <v>53517.22</v>
      </c>
      <c r="K18" s="395">
        <v>0.1</v>
      </c>
      <c r="L18" s="388">
        <f>ROUND($D18*K18,2)</f>
        <v>53517.22</v>
      </c>
      <c r="M18" s="395">
        <v>0.1</v>
      </c>
      <c r="N18" s="388">
        <f>ROUND($D18*M18,2)</f>
        <v>53517.22</v>
      </c>
      <c r="O18" s="395">
        <v>0.1</v>
      </c>
      <c r="P18" s="388">
        <f>ROUND($D18*O18,2)</f>
        <v>53517.22</v>
      </c>
      <c r="Q18" s="395">
        <v>0.1</v>
      </c>
      <c r="R18" s="388">
        <f>ROUND($D18*Q18,2)</f>
        <v>53517.22</v>
      </c>
      <c r="S18" s="395">
        <v>0.1</v>
      </c>
      <c r="T18" s="388">
        <f>ROUND($D18*S18,2)</f>
        <v>53517.22</v>
      </c>
      <c r="U18" s="395">
        <v>0.1</v>
      </c>
      <c r="V18" s="388">
        <f>ROUNDDOWN($D18*U18,2)</f>
        <v>53517.21</v>
      </c>
      <c r="W18" s="395">
        <v>0.1</v>
      </c>
      <c r="X18" s="388">
        <f>ROUNDDOWN($D18*W18,2)</f>
        <v>53517.21</v>
      </c>
      <c r="Y18" s="395"/>
      <c r="Z18" s="395"/>
      <c r="AA18" s="389"/>
      <c r="AB18" s="388"/>
      <c r="AC18" s="390">
        <f>SUM(AA18,Y18,W18,U18,S18,Q18,O18,M18,K18,I18,G18,E18)</f>
        <v>1</v>
      </c>
      <c r="AD18" s="1353">
        <f>SUM(AB18,Z18,X18,V18,T18,R18,P18,N18,L18,J18,H18,F18)</f>
        <v>535172.18000000005</v>
      </c>
      <c r="AE18" s="540">
        <f>AD18-D18</f>
        <v>0</v>
      </c>
    </row>
    <row r="19" spans="1:31">
      <c r="A19" s="1943"/>
      <c r="B19" s="1946"/>
      <c r="C19" s="1944"/>
      <c r="D19" s="1945"/>
      <c r="E19" s="399"/>
      <c r="F19" s="400"/>
      <c r="G19" s="399"/>
      <c r="H19" s="400"/>
      <c r="I19" s="399"/>
      <c r="J19" s="400"/>
      <c r="K19" s="399"/>
      <c r="L19" s="400"/>
      <c r="M19" s="399"/>
      <c r="N19" s="400"/>
      <c r="O19" s="399"/>
      <c r="P19" s="400"/>
      <c r="Q19" s="399"/>
      <c r="R19" s="400"/>
      <c r="S19" s="399"/>
      <c r="T19" s="400"/>
      <c r="U19" s="399"/>
      <c r="V19" s="400"/>
      <c r="W19" s="399"/>
      <c r="X19" s="400"/>
      <c r="Y19" s="466"/>
      <c r="Z19" s="466"/>
      <c r="AA19" s="466"/>
      <c r="AB19" s="388"/>
      <c r="AC19" s="390">
        <f t="shared" si="0"/>
        <v>0</v>
      </c>
    </row>
    <row r="20" spans="1:31" ht="30" customHeight="1">
      <c r="A20" s="1943">
        <f>'PLANILHA GERAL'!C42</f>
        <v>3</v>
      </c>
      <c r="B20" s="1946" t="str">
        <f>'PLANILHA GERAL'!F42</f>
        <v>SERVIÇOS DE DRENAGEM SUPERFICIAL</v>
      </c>
      <c r="C20" s="1944">
        <f>D20/$D$38</f>
        <v>5.3900000000000003E-2</v>
      </c>
      <c r="D20" s="1945">
        <f>ROUND('PLANILHA GERAL'!K48/2,2)</f>
        <v>1598612.43</v>
      </c>
      <c r="E20" s="395">
        <v>0.1</v>
      </c>
      <c r="F20" s="388">
        <f>ROUND($D20*E20,2)</f>
        <v>159861.24</v>
      </c>
      <c r="G20" s="395">
        <v>0.1</v>
      </c>
      <c r="H20" s="388">
        <f>ROUND($D20*G20,2)</f>
        <v>159861.24</v>
      </c>
      <c r="I20" s="395">
        <v>0.1</v>
      </c>
      <c r="J20" s="388">
        <f>ROUND($D20*I20,2)</f>
        <v>159861.24</v>
      </c>
      <c r="K20" s="395">
        <v>0.1</v>
      </c>
      <c r="L20" s="388">
        <f>ROUND($D20*K20,2)</f>
        <v>159861.24</v>
      </c>
      <c r="M20" s="395">
        <v>0.1</v>
      </c>
      <c r="N20" s="388">
        <f>ROUND($D20*M20,2)</f>
        <v>159861.24</v>
      </c>
      <c r="O20" s="395">
        <v>0.1</v>
      </c>
      <c r="P20" s="388">
        <f>ROUND($D20*O20,2)</f>
        <v>159861.24</v>
      </c>
      <c r="Q20" s="395">
        <v>0.1</v>
      </c>
      <c r="R20" s="388">
        <f>ROUND($D20*Q20,2)</f>
        <v>159861.24</v>
      </c>
      <c r="S20" s="395">
        <v>0.1</v>
      </c>
      <c r="T20" s="388">
        <f>ROUNDUP($D20*S20,2)</f>
        <v>159861.25</v>
      </c>
      <c r="U20" s="395">
        <v>0.1</v>
      </c>
      <c r="V20" s="388">
        <f>ROUNDUP($D20*U20,2)</f>
        <v>159861.25</v>
      </c>
      <c r="W20" s="395">
        <v>0.1</v>
      </c>
      <c r="X20" s="388">
        <f>ROUNDUP($D20*W20,2)</f>
        <v>159861.25</v>
      </c>
      <c r="Y20" s="395"/>
      <c r="Z20" s="395"/>
      <c r="AA20" s="395"/>
      <c r="AB20" s="388">
        <f>ROUND($D20*AA20,2)</f>
        <v>0</v>
      </c>
      <c r="AC20" s="390">
        <f>SUM(AA20,Y20,W20,U20,S20,Q20,O20,M20,K20,I20,G20,E20)</f>
        <v>1</v>
      </c>
      <c r="AD20" s="1353">
        <f>SUM(AB20,Z20,X20,V20,T20,R20,P20,N20,L20,J20,H20,F20)</f>
        <v>1598612.43</v>
      </c>
      <c r="AE20" s="540">
        <f>AD20-D20</f>
        <v>0</v>
      </c>
    </row>
    <row r="21" spans="1:31">
      <c r="A21" s="1943"/>
      <c r="B21" s="1946"/>
      <c r="C21" s="1944"/>
      <c r="D21" s="1945"/>
      <c r="E21" s="399"/>
      <c r="F21" s="400"/>
      <c r="G21" s="399"/>
      <c r="H21" s="400"/>
      <c r="I21" s="399"/>
      <c r="J21" s="400"/>
      <c r="K21" s="399"/>
      <c r="L21" s="400"/>
      <c r="M21" s="399"/>
      <c r="N21" s="400"/>
      <c r="O21" s="399"/>
      <c r="P21" s="400"/>
      <c r="Q21" s="399"/>
      <c r="R21" s="400"/>
      <c r="S21" s="399"/>
      <c r="T21" s="400"/>
      <c r="U21" s="399"/>
      <c r="V21" s="400"/>
      <c r="W21" s="399"/>
      <c r="X21" s="400"/>
      <c r="Y21" s="466"/>
      <c r="Z21" s="466"/>
      <c r="AA21" s="466"/>
      <c r="AB21" s="388"/>
      <c r="AC21" s="390">
        <f t="shared" si="0"/>
        <v>0</v>
      </c>
    </row>
    <row r="22" spans="1:31" ht="30" customHeight="1">
      <c r="A22" s="1943">
        <f>'PLANILHA GERAL'!C49</f>
        <v>4</v>
      </c>
      <c r="B22" s="1946" t="str">
        <f>'PLANILHA GERAL'!F49</f>
        <v>SERVIÇOS DE DRENAGEM PROFUNDA</v>
      </c>
      <c r="C22" s="1944">
        <f>D22/$D$38</f>
        <v>0.19850000000000001</v>
      </c>
      <c r="D22" s="1945">
        <f>ROUND('PLANILHA GERAL'!K120/2,2)</f>
        <v>5884997.6200000001</v>
      </c>
      <c r="E22" s="387">
        <v>0.3</v>
      </c>
      <c r="F22" s="388">
        <f>ROUND($D22*E22,2)</f>
        <v>1765499.29</v>
      </c>
      <c r="G22" s="395">
        <v>0.3</v>
      </c>
      <c r="H22" s="388">
        <f>ROUND($D22*G22,2)</f>
        <v>1765499.29</v>
      </c>
      <c r="I22" s="395">
        <v>0.2</v>
      </c>
      <c r="J22" s="388">
        <f>ROUND($D22*I22,2)</f>
        <v>1176999.52</v>
      </c>
      <c r="K22" s="395">
        <v>0.2</v>
      </c>
      <c r="L22" s="388">
        <f>ROUND($D22*K22,2)</f>
        <v>1176999.52</v>
      </c>
      <c r="M22" s="395"/>
      <c r="N22" s="388"/>
      <c r="O22" s="395"/>
      <c r="P22" s="388"/>
      <c r="Q22" s="395"/>
      <c r="R22" s="388"/>
      <c r="S22" s="395"/>
      <c r="T22" s="388"/>
      <c r="U22" s="395"/>
      <c r="V22" s="388"/>
      <c r="W22" s="395"/>
      <c r="X22" s="388"/>
      <c r="Y22" s="395"/>
      <c r="Z22" s="388"/>
      <c r="AA22" s="395"/>
      <c r="AB22" s="388"/>
      <c r="AC22" s="390">
        <f>SUM(AA22,Y22,W22,U22,S22,Q22,O22,M22,K22,I22,G22,E22)</f>
        <v>1</v>
      </c>
      <c r="AD22" s="1353">
        <f>SUM(AB22,Z22,X22,V22,T22,R22,P22,N22,L22,J22,H22,F22)</f>
        <v>5884997.6200000001</v>
      </c>
      <c r="AE22" s="540">
        <f>AD22-D22</f>
        <v>0</v>
      </c>
    </row>
    <row r="23" spans="1:31">
      <c r="A23" s="1943"/>
      <c r="B23" s="1946"/>
      <c r="C23" s="1944"/>
      <c r="D23" s="1945"/>
      <c r="E23" s="391"/>
      <c r="F23" s="392"/>
      <c r="G23" s="393"/>
      <c r="H23" s="392"/>
      <c r="I23" s="394"/>
      <c r="J23" s="392"/>
      <c r="K23" s="394"/>
      <c r="L23" s="392"/>
      <c r="M23" s="466"/>
      <c r="N23" s="388"/>
      <c r="O23" s="466"/>
      <c r="P23" s="388"/>
      <c r="Q23" s="466"/>
      <c r="R23" s="388"/>
      <c r="S23" s="466"/>
      <c r="T23" s="388"/>
      <c r="U23" s="466"/>
      <c r="V23" s="388"/>
      <c r="W23" s="466"/>
      <c r="X23" s="388"/>
      <c r="Y23" s="466"/>
      <c r="Z23" s="388"/>
      <c r="AA23" s="466"/>
      <c r="AB23" s="388"/>
      <c r="AC23" s="390">
        <f t="shared" si="0"/>
        <v>0</v>
      </c>
      <c r="AE23" s="540">
        <f>AD23-D23</f>
        <v>0</v>
      </c>
    </row>
    <row r="24" spans="1:31" ht="30" customHeight="1">
      <c r="A24" s="1943">
        <f>'PLANILHA GERAL'!C121</f>
        <v>5</v>
      </c>
      <c r="B24" s="1946" t="str">
        <f>'PLANILHA GERAL'!F121</f>
        <v>SERVIÇOS DE TERRAPLENAGEM</v>
      </c>
      <c r="C24" s="1944">
        <f>D24/$D$38</f>
        <v>0.1394</v>
      </c>
      <c r="D24" s="1945">
        <f>ROUND('PLANILHA GERAL'!K130/2,2)</f>
        <v>4132271.89</v>
      </c>
      <c r="E24" s="395">
        <v>0.1</v>
      </c>
      <c r="F24" s="388">
        <f>ROUND($D24*E24,2)</f>
        <v>413227.19</v>
      </c>
      <c r="G24" s="395">
        <v>0.1</v>
      </c>
      <c r="H24" s="388">
        <f>ROUND($D24*G24,2)</f>
        <v>413227.19</v>
      </c>
      <c r="I24" s="395">
        <v>0.1</v>
      </c>
      <c r="J24" s="388">
        <f>ROUND($D24*I24,2)</f>
        <v>413227.19</v>
      </c>
      <c r="K24" s="395">
        <v>0.1</v>
      </c>
      <c r="L24" s="388">
        <f>ROUND($D24*K24,2)</f>
        <v>413227.19</v>
      </c>
      <c r="M24" s="395">
        <v>0.1</v>
      </c>
      <c r="N24" s="388">
        <f>ROUND($D24*M24,2)</f>
        <v>413227.19</v>
      </c>
      <c r="O24" s="395">
        <v>0.1</v>
      </c>
      <c r="P24" s="388">
        <f>ROUND($D24*O24,2)</f>
        <v>413227.19</v>
      </c>
      <c r="Q24" s="395">
        <v>0.1</v>
      </c>
      <c r="R24" s="388">
        <f>ROUND($D24*Q24,2)</f>
        <v>413227.19</v>
      </c>
      <c r="S24" s="395">
        <v>0.1</v>
      </c>
      <c r="T24" s="388">
        <f>ROUNDDOWN($D24*S24,2)</f>
        <v>413227.18</v>
      </c>
      <c r="U24" s="395">
        <v>0.1</v>
      </c>
      <c r="V24" s="388">
        <f>ROUNDUP($D24*U24,2)</f>
        <v>413227.19</v>
      </c>
      <c r="W24" s="395">
        <v>0.1</v>
      </c>
      <c r="X24" s="388">
        <f>ROUNDUP($D24*W24,2)</f>
        <v>413227.19</v>
      </c>
      <c r="Y24" s="395"/>
      <c r="Z24" s="388"/>
      <c r="AA24" s="395"/>
      <c r="AB24" s="388"/>
      <c r="AC24" s="390">
        <f>SUM(AA24,Y24,W24,U24,S24,Q24,O24,M24,K24,I24,G24,E24)</f>
        <v>1</v>
      </c>
      <c r="AD24" s="1353">
        <f>SUM(AB24,Z24,X24,V24,T24,R24,P24,N24,L24,J24,H24,F24)</f>
        <v>4132271.89</v>
      </c>
      <c r="AE24" s="540">
        <f>AD24-D24</f>
        <v>0</v>
      </c>
    </row>
    <row r="25" spans="1:31">
      <c r="A25" s="1943"/>
      <c r="B25" s="1946"/>
      <c r="C25" s="1944"/>
      <c r="D25" s="1945"/>
      <c r="E25" s="399"/>
      <c r="F25" s="400"/>
      <c r="G25" s="399"/>
      <c r="H25" s="400"/>
      <c r="I25" s="399"/>
      <c r="J25" s="400"/>
      <c r="K25" s="399"/>
      <c r="L25" s="400"/>
      <c r="M25" s="399"/>
      <c r="N25" s="400"/>
      <c r="O25" s="399"/>
      <c r="P25" s="400"/>
      <c r="Q25" s="399"/>
      <c r="R25" s="400"/>
      <c r="S25" s="399"/>
      <c r="T25" s="400"/>
      <c r="U25" s="399"/>
      <c r="V25" s="400"/>
      <c r="W25" s="399"/>
      <c r="X25" s="400"/>
      <c r="Y25" s="466"/>
      <c r="Z25" s="388"/>
      <c r="AA25" s="466"/>
      <c r="AB25" s="388"/>
      <c r="AC25" s="390">
        <f t="shared" si="0"/>
        <v>0</v>
      </c>
    </row>
    <row r="26" spans="1:31" ht="30" customHeight="1">
      <c r="A26" s="1943">
        <f>'PLANILHA GERAL'!C131</f>
        <v>6</v>
      </c>
      <c r="B26" s="1946" t="str">
        <f>'PLANILHA GERAL'!F131</f>
        <v>SERVIÇOS DE CAIXA PRIMÁRIA</v>
      </c>
      <c r="C26" s="1944">
        <f>D26/$D$38</f>
        <v>0.1103</v>
      </c>
      <c r="D26" s="1945">
        <f>ROUND('PLANILHA GERAL'!K141/2,2)</f>
        <v>3268638.42</v>
      </c>
      <c r="E26" s="395">
        <v>0.1</v>
      </c>
      <c r="F26" s="388">
        <f>ROUND($D26*E26,2)</f>
        <v>326863.84000000003</v>
      </c>
      <c r="G26" s="395">
        <v>0.1</v>
      </c>
      <c r="H26" s="388">
        <f>ROUND($D26*G26,2)</f>
        <v>326863.84000000003</v>
      </c>
      <c r="I26" s="395">
        <v>0.1</v>
      </c>
      <c r="J26" s="388">
        <f>ROUND($D26*I26,2)</f>
        <v>326863.84000000003</v>
      </c>
      <c r="K26" s="395">
        <v>0.1</v>
      </c>
      <c r="L26" s="388">
        <f>ROUND($D26*K26,2)</f>
        <v>326863.84000000003</v>
      </c>
      <c r="M26" s="395">
        <v>0.1</v>
      </c>
      <c r="N26" s="388">
        <f>ROUND($D26*M26,2)</f>
        <v>326863.84000000003</v>
      </c>
      <c r="O26" s="395">
        <v>0.1</v>
      </c>
      <c r="P26" s="388">
        <f>ROUND($D26*O26,2)</f>
        <v>326863.84000000003</v>
      </c>
      <c r="Q26" s="395">
        <v>0.1</v>
      </c>
      <c r="R26" s="388">
        <f>ROUND($D26*Q26,2)</f>
        <v>326863.84000000003</v>
      </c>
      <c r="S26" s="395">
        <v>0.1</v>
      </c>
      <c r="T26" s="388">
        <f>ROUND($D26*S26,2)</f>
        <v>326863.84000000003</v>
      </c>
      <c r="U26" s="395">
        <v>0.1</v>
      </c>
      <c r="V26" s="388">
        <f>ROUNDUP($D26*U26,2)</f>
        <v>326863.84999999998</v>
      </c>
      <c r="W26" s="395">
        <v>0.1</v>
      </c>
      <c r="X26" s="388">
        <f>ROUNDUP($D26*W26,2)</f>
        <v>326863.84999999998</v>
      </c>
      <c r="Y26" s="395"/>
      <c r="Z26" s="388"/>
      <c r="AA26" s="395"/>
      <c r="AB26" s="388"/>
      <c r="AC26" s="390">
        <f>SUM(AA26,Y26,W26,U26,S26,Q26,O26,M26,K26,I26,G26,E26)</f>
        <v>1</v>
      </c>
      <c r="AD26" s="1353">
        <f>SUM(AB26,Z26,X26,V26,T26,R26,P26,N26,L26,J26,H26,F26)</f>
        <v>3268638.42</v>
      </c>
      <c r="AE26" s="540">
        <f>AD26-D26</f>
        <v>0</v>
      </c>
    </row>
    <row r="27" spans="1:31">
      <c r="A27" s="1943"/>
      <c r="B27" s="1946"/>
      <c r="C27" s="1944"/>
      <c r="D27" s="1945"/>
      <c r="E27" s="399"/>
      <c r="F27" s="400"/>
      <c r="G27" s="399"/>
      <c r="H27" s="400"/>
      <c r="I27" s="399"/>
      <c r="J27" s="400"/>
      <c r="K27" s="399"/>
      <c r="L27" s="400"/>
      <c r="M27" s="399"/>
      <c r="N27" s="400"/>
      <c r="O27" s="399"/>
      <c r="P27" s="400"/>
      <c r="Q27" s="399"/>
      <c r="R27" s="400"/>
      <c r="S27" s="399"/>
      <c r="T27" s="400"/>
      <c r="U27" s="399"/>
      <c r="V27" s="400"/>
      <c r="W27" s="399"/>
      <c r="X27" s="400"/>
      <c r="Y27" s="466"/>
      <c r="Z27" s="388"/>
      <c r="AA27" s="466"/>
      <c r="AB27" s="388"/>
      <c r="AC27" s="390">
        <f t="shared" si="0"/>
        <v>0</v>
      </c>
    </row>
    <row r="28" spans="1:31" ht="30" customHeight="1">
      <c r="A28" s="1943">
        <f>'PLANILHA GERAL'!C142</f>
        <v>7</v>
      </c>
      <c r="B28" s="1946" t="str">
        <f>'PLANILHA GERAL'!F142</f>
        <v>SERVIÇOS DE REVESTIMENTO</v>
      </c>
      <c r="C28" s="1944">
        <f>D28/$D$38</f>
        <v>0.37480000000000002</v>
      </c>
      <c r="D28" s="1945">
        <f>ROUNDDOWN('PLANILHA GERAL'!K153/2,2)</f>
        <v>11109281.550000001</v>
      </c>
      <c r="E28" s="387"/>
      <c r="F28" s="388">
        <f>ROUND($D28*E28,2)</f>
        <v>0</v>
      </c>
      <c r="G28" s="395"/>
      <c r="H28" s="388">
        <f>ROUND($D28*G28,2)</f>
        <v>0</v>
      </c>
      <c r="I28" s="395">
        <v>0.1</v>
      </c>
      <c r="J28" s="388">
        <f>ROUND($D28*I28,2)</f>
        <v>1110928.1599999999</v>
      </c>
      <c r="K28" s="395">
        <v>0.1</v>
      </c>
      <c r="L28" s="388">
        <f>ROUND($D28*K28,2)</f>
        <v>1110928.1599999999</v>
      </c>
      <c r="M28" s="395">
        <v>0.1</v>
      </c>
      <c r="N28" s="388">
        <f>ROUND($D28*M28,2)</f>
        <v>1110928.1599999999</v>
      </c>
      <c r="O28" s="395">
        <v>0.1</v>
      </c>
      <c r="P28" s="388">
        <f>ROUND($D28*O28,2)</f>
        <v>1110928.1599999999</v>
      </c>
      <c r="Q28" s="395">
        <v>0.1</v>
      </c>
      <c r="R28" s="388">
        <f>ROUND($D28*Q28,2)</f>
        <v>1110928.1599999999</v>
      </c>
      <c r="S28" s="395">
        <v>0.1</v>
      </c>
      <c r="T28" s="388">
        <f>ROUNDDOWN($D28*S28,2)</f>
        <v>1110928.1499999999</v>
      </c>
      <c r="U28" s="395">
        <v>0.1</v>
      </c>
      <c r="V28" s="388">
        <f>ROUNDDOWN($D28*U28,2)</f>
        <v>1110928.1499999999</v>
      </c>
      <c r="W28" s="395">
        <v>0.1</v>
      </c>
      <c r="X28" s="388">
        <f>ROUNDDOWN($D28*W28,2)</f>
        <v>1110928.1499999999</v>
      </c>
      <c r="Y28" s="395">
        <v>0.1</v>
      </c>
      <c r="Z28" s="388">
        <f>ROUNDDOWN($D28*Y28,2)</f>
        <v>1110928.1499999999</v>
      </c>
      <c r="AA28" s="395">
        <v>0.1</v>
      </c>
      <c r="AB28" s="388">
        <f>ROUNDDOWN($D28*AA28,2)</f>
        <v>1110928.1499999999</v>
      </c>
      <c r="AC28" s="390">
        <f>SUM(AA28,Y28,W28,U28,S28,Q28,O28,M28,K28,I28,G28,E28)</f>
        <v>1</v>
      </c>
      <c r="AD28" s="1353">
        <f>SUM(AB28,Z28,X28,V28,T28,R28,P28,N28,L28,J28,H28,F28)</f>
        <v>11109281.550000001</v>
      </c>
      <c r="AE28" s="540">
        <f>AD28-D28</f>
        <v>0</v>
      </c>
    </row>
    <row r="29" spans="1:31">
      <c r="A29" s="1943"/>
      <c r="B29" s="1946"/>
      <c r="C29" s="1944"/>
      <c r="D29" s="1945"/>
      <c r="E29" s="396"/>
      <c r="F29" s="397"/>
      <c r="G29" s="398"/>
      <c r="H29" s="397"/>
      <c r="I29" s="399"/>
      <c r="J29" s="400"/>
      <c r="K29" s="399"/>
      <c r="L29" s="400"/>
      <c r="M29" s="399"/>
      <c r="N29" s="400"/>
      <c r="O29" s="399"/>
      <c r="P29" s="400"/>
      <c r="Q29" s="399"/>
      <c r="R29" s="400"/>
      <c r="S29" s="399"/>
      <c r="T29" s="400"/>
      <c r="U29" s="399"/>
      <c r="V29" s="400"/>
      <c r="W29" s="399"/>
      <c r="X29" s="400"/>
      <c r="Y29" s="399"/>
      <c r="Z29" s="400"/>
      <c r="AA29" s="399"/>
      <c r="AB29" s="400"/>
      <c r="AC29" s="390">
        <f t="shared" si="0"/>
        <v>0</v>
      </c>
    </row>
    <row r="30" spans="1:31" ht="30" customHeight="1">
      <c r="A30" s="1943">
        <f>'PLANILHA GERAL'!C162</f>
        <v>8</v>
      </c>
      <c r="B30" s="1946" t="str">
        <f>'PLANILHA GERAL'!F162</f>
        <v>LIMPEZA FINAL</v>
      </c>
      <c r="C30" s="1944">
        <f>D30/$D$38</f>
        <v>2.3999999999999998E-3</v>
      </c>
      <c r="D30" s="1945">
        <f>ROUNDDOWN('PLANILHA GERAL'!K164/2,2)</f>
        <v>71319.5</v>
      </c>
      <c r="E30" s="387"/>
      <c r="F30" s="388">
        <f>ROUND($D30*E30,2)</f>
        <v>0</v>
      </c>
      <c r="G30" s="395"/>
      <c r="H30" s="388">
        <f>ROUND($D30*G30,2)</f>
        <v>0</v>
      </c>
      <c r="I30" s="395">
        <v>0.1</v>
      </c>
      <c r="J30" s="388">
        <f>ROUND($D30*I30,2)</f>
        <v>7131.95</v>
      </c>
      <c r="K30" s="395">
        <v>0.1</v>
      </c>
      <c r="L30" s="388">
        <f>ROUND($D30*K30,2)</f>
        <v>7131.95</v>
      </c>
      <c r="M30" s="395">
        <v>0.1</v>
      </c>
      <c r="N30" s="388">
        <f>ROUND($D30*M30,2)</f>
        <v>7131.95</v>
      </c>
      <c r="O30" s="395">
        <v>0.1</v>
      </c>
      <c r="P30" s="388">
        <f>ROUND($D30*O30,2)</f>
        <v>7131.95</v>
      </c>
      <c r="Q30" s="395">
        <v>0.1</v>
      </c>
      <c r="R30" s="388">
        <f>ROUND($D30*Q30,2)</f>
        <v>7131.95</v>
      </c>
      <c r="S30" s="395">
        <v>0.1</v>
      </c>
      <c r="T30" s="388">
        <f>ROUNDDOWN($D30*S30,2)</f>
        <v>7131.95</v>
      </c>
      <c r="U30" s="395">
        <v>0.1</v>
      </c>
      <c r="V30" s="388">
        <f>ROUNDDOWN($D30*U30,2)</f>
        <v>7131.95</v>
      </c>
      <c r="W30" s="395">
        <v>0.1</v>
      </c>
      <c r="X30" s="388">
        <f>ROUNDDOWN($D30*W30,2)</f>
        <v>7131.95</v>
      </c>
      <c r="Y30" s="395">
        <v>0.1</v>
      </c>
      <c r="Z30" s="388">
        <f>ROUNDDOWN($D30*Y30,2)</f>
        <v>7131.95</v>
      </c>
      <c r="AA30" s="395">
        <v>0.1</v>
      </c>
      <c r="AB30" s="388">
        <f>ROUNDDOWN($D30*AA30,2)</f>
        <v>7131.95</v>
      </c>
      <c r="AC30" s="390">
        <f>SUM(AA30,Y30,W30,U30,S30,Q30,O30,M30,K30,I30,G30,E30)</f>
        <v>1</v>
      </c>
      <c r="AD30" s="1353">
        <f>SUM(AB30,Z30,X30,V30,T30,R30,P30,N30,L30,J30,H30,F30)</f>
        <v>71319.5</v>
      </c>
      <c r="AE30" s="540">
        <f>AD30-D30</f>
        <v>0</v>
      </c>
    </row>
    <row r="31" spans="1:31">
      <c r="A31" s="1943"/>
      <c r="B31" s="1946"/>
      <c r="C31" s="1944"/>
      <c r="D31" s="1945"/>
      <c r="E31" s="396"/>
      <c r="F31" s="397"/>
      <c r="G31" s="398"/>
      <c r="H31" s="397"/>
      <c r="I31" s="399"/>
      <c r="J31" s="400"/>
      <c r="K31" s="399"/>
      <c r="L31" s="400"/>
      <c r="M31" s="399"/>
      <c r="N31" s="400"/>
      <c r="O31" s="399"/>
      <c r="P31" s="400"/>
      <c r="Q31" s="399"/>
      <c r="R31" s="400"/>
      <c r="S31" s="399"/>
      <c r="T31" s="400"/>
      <c r="U31" s="399"/>
      <c r="V31" s="400"/>
      <c r="W31" s="399"/>
      <c r="X31" s="400"/>
      <c r="Y31" s="399"/>
      <c r="Z31" s="400"/>
      <c r="AA31" s="399"/>
      <c r="AB31" s="400"/>
      <c r="AC31" s="390">
        <f t="shared" si="0"/>
        <v>0</v>
      </c>
    </row>
    <row r="32" spans="1:31" ht="30" customHeight="1">
      <c r="A32" s="1943">
        <f>'PLANILHA GERAL'!C165</f>
        <v>9</v>
      </c>
      <c r="B32" s="1946" t="str">
        <f>'PLANILHA GERAL'!F165</f>
        <v>OBRAS DE ARTES ESPECIAIS</v>
      </c>
      <c r="C32" s="1944">
        <f>D32/$D$38</f>
        <v>2.2200000000000001E-2</v>
      </c>
      <c r="D32" s="1945">
        <f>ROUNDDOWN('PLANILHA GERAL'!K207/2,2)</f>
        <v>657082.47</v>
      </c>
      <c r="E32" s="387"/>
      <c r="F32" s="388">
        <f>ROUND($D32*E32,2)</f>
        <v>0</v>
      </c>
      <c r="G32" s="395"/>
      <c r="H32" s="388">
        <f>ROUND($D32*G32,2)</f>
        <v>0</v>
      </c>
      <c r="I32" s="395"/>
      <c r="J32" s="388"/>
      <c r="K32" s="395"/>
      <c r="L32" s="388"/>
      <c r="M32" s="395">
        <v>0.25</v>
      </c>
      <c r="N32" s="388">
        <f>ROUND($D32*M32,2)</f>
        <v>164270.62</v>
      </c>
      <c r="O32" s="395">
        <v>0.25</v>
      </c>
      <c r="P32" s="388">
        <f>ROUND($D32*O32,2)</f>
        <v>164270.62</v>
      </c>
      <c r="Q32" s="395">
        <v>0.25</v>
      </c>
      <c r="R32" s="388">
        <f>ROUND($D32*Q32,2)</f>
        <v>164270.62</v>
      </c>
      <c r="S32" s="395">
        <v>0.25</v>
      </c>
      <c r="T32" s="388">
        <f>ROUNDDOWN($D32*S32,2)</f>
        <v>164270.60999999999</v>
      </c>
      <c r="U32" s="395"/>
      <c r="V32" s="395"/>
      <c r="W32" s="395"/>
      <c r="X32" s="395"/>
      <c r="Y32" s="395"/>
      <c r="Z32" s="395"/>
      <c r="AA32" s="395"/>
      <c r="AB32" s="1490"/>
      <c r="AC32" s="390">
        <f>SUM(AA32,Y32,W32,U32,S32,Q32,O32,M32,K32,I32,G32,E32)</f>
        <v>1</v>
      </c>
      <c r="AD32" s="1353">
        <f>SUM(AB32,Z32,X32,V32,T32,R32,P32,N32,L32,J32,H32,F32)</f>
        <v>657082.47</v>
      </c>
      <c r="AE32" s="540">
        <f>AD32-D32</f>
        <v>0</v>
      </c>
    </row>
    <row r="33" spans="1:267">
      <c r="A33" s="1943"/>
      <c r="B33" s="1946"/>
      <c r="C33" s="1944"/>
      <c r="D33" s="1945"/>
      <c r="E33" s="396"/>
      <c r="F33" s="397"/>
      <c r="G33" s="398"/>
      <c r="H33" s="397"/>
      <c r="I33" s="398"/>
      <c r="J33" s="397"/>
      <c r="K33" s="398"/>
      <c r="L33" s="397"/>
      <c r="M33" s="399"/>
      <c r="N33" s="400"/>
      <c r="O33" s="399"/>
      <c r="P33" s="400"/>
      <c r="Q33" s="399"/>
      <c r="R33" s="400"/>
      <c r="S33" s="399"/>
      <c r="T33" s="400"/>
      <c r="U33" s="466"/>
      <c r="V33" s="466"/>
      <c r="W33" s="466"/>
      <c r="X33" s="466"/>
      <c r="Y33" s="466"/>
      <c r="Z33" s="466"/>
      <c r="AA33" s="466"/>
      <c r="AB33" s="1491"/>
      <c r="AC33" s="390">
        <f t="shared" ref="AC33" si="1">E33+G33+I33+K33+M33+AA33</f>
        <v>0</v>
      </c>
    </row>
    <row r="34" spans="1:267" ht="30" customHeight="1">
      <c r="A34" s="1943">
        <f>'PLANILHA GERAL'!C208</f>
        <v>10</v>
      </c>
      <c r="B34" s="1946" t="str">
        <f>'PLANILHA GERAL'!F208</f>
        <v>SERVIÇOS COMPLEMENTARES</v>
      </c>
      <c r="C34" s="1944">
        <f>D34/$D$38</f>
        <v>1.47E-2</v>
      </c>
      <c r="D34" s="1945">
        <f>ROUNDDOWN('PLANILHA GERAL'!K218/2,2)</f>
        <v>436000.4</v>
      </c>
      <c r="E34" s="387"/>
      <c r="F34" s="388">
        <f>ROUND($D34*E34,2)</f>
        <v>0</v>
      </c>
      <c r="G34" s="395"/>
      <c r="H34" s="388">
        <f>ROUND($D34*G34,2)</f>
        <v>0</v>
      </c>
      <c r="I34" s="395"/>
      <c r="J34" s="388"/>
      <c r="K34" s="395"/>
      <c r="L34" s="388"/>
      <c r="M34" s="395">
        <v>0.25</v>
      </c>
      <c r="N34" s="388">
        <f>ROUND($D34*M34,2)</f>
        <v>109000.1</v>
      </c>
      <c r="O34" s="395">
        <v>0.25</v>
      </c>
      <c r="P34" s="388">
        <f>ROUND($D34*O34,2)</f>
        <v>109000.1</v>
      </c>
      <c r="Q34" s="395">
        <v>0.25</v>
      </c>
      <c r="R34" s="388">
        <f>ROUND($D34*Q34,2)</f>
        <v>109000.1</v>
      </c>
      <c r="S34" s="395">
        <v>0.25</v>
      </c>
      <c r="T34" s="388">
        <f>ROUNDUP($D34*S34,2)</f>
        <v>109000.1</v>
      </c>
      <c r="U34" s="395"/>
      <c r="V34" s="395"/>
      <c r="W34" s="395"/>
      <c r="X34" s="395"/>
      <c r="Y34" s="395"/>
      <c r="Z34" s="395"/>
      <c r="AA34" s="395"/>
      <c r="AB34" s="1490"/>
      <c r="AC34" s="390">
        <f>SUM(AA34,Y34,W34,U34,S34,Q34,O34,M34,K34,I34,G34,E34)</f>
        <v>1</v>
      </c>
      <c r="AD34" s="1353">
        <f>SUM(AB34,Z34,X34,V34,T34,R34,P34,N34,L34,J34,H34,F34)</f>
        <v>436000.4</v>
      </c>
      <c r="AE34" s="540">
        <f>AD34-D34</f>
        <v>0</v>
      </c>
    </row>
    <row r="35" spans="1:267">
      <c r="A35" s="1943"/>
      <c r="B35" s="1946"/>
      <c r="C35" s="1944"/>
      <c r="D35" s="1945"/>
      <c r="E35" s="396"/>
      <c r="F35" s="397"/>
      <c r="G35" s="398"/>
      <c r="H35" s="397"/>
      <c r="I35" s="398"/>
      <c r="J35" s="397"/>
      <c r="K35" s="398"/>
      <c r="L35" s="397"/>
      <c r="M35" s="399"/>
      <c r="N35" s="400"/>
      <c r="O35" s="399"/>
      <c r="P35" s="400"/>
      <c r="Q35" s="399"/>
      <c r="R35" s="400"/>
      <c r="S35" s="399"/>
      <c r="T35" s="400"/>
      <c r="U35" s="466"/>
      <c r="V35" s="466"/>
      <c r="W35" s="466"/>
      <c r="X35" s="466"/>
      <c r="Y35" s="466"/>
      <c r="Z35" s="466"/>
      <c r="AA35" s="466"/>
      <c r="AB35" s="1491"/>
      <c r="AC35" s="390">
        <f t="shared" ref="AC35" si="2">E35+G35+I35+K35+M35+AA35</f>
        <v>0</v>
      </c>
    </row>
    <row r="36" spans="1:267" ht="30" customHeight="1">
      <c r="A36" s="1943">
        <f>'PLANILHA GERAL'!C219</f>
        <v>11</v>
      </c>
      <c r="B36" s="1946" t="str">
        <f>'PLANILHA GERAL'!F219</f>
        <v>PREVENÇÃO DE INUNDAÇÕES</v>
      </c>
      <c r="C36" s="1944">
        <f>D36/$D$38</f>
        <v>6.1699999999999998E-2</v>
      </c>
      <c r="D36" s="1945">
        <f>ROUND('PLANILHA GERAL'!K278/2,2)</f>
        <v>1829446.07</v>
      </c>
      <c r="E36" s="395">
        <v>0.1</v>
      </c>
      <c r="F36" s="388">
        <f>ROUND($D36*E36,2)</f>
        <v>182944.61</v>
      </c>
      <c r="G36" s="395">
        <v>0.1</v>
      </c>
      <c r="H36" s="388">
        <f>ROUND($D36*G36,2)</f>
        <v>182944.61</v>
      </c>
      <c r="I36" s="395">
        <v>0.1</v>
      </c>
      <c r="J36" s="388">
        <f>ROUND($D36*I36,2)</f>
        <v>182944.61</v>
      </c>
      <c r="K36" s="395">
        <v>0.1</v>
      </c>
      <c r="L36" s="388">
        <f>ROUND($D36*K36,2)</f>
        <v>182944.61</v>
      </c>
      <c r="M36" s="395">
        <v>0.1</v>
      </c>
      <c r="N36" s="388">
        <f>ROUND($D36*M36,2)</f>
        <v>182944.61</v>
      </c>
      <c r="O36" s="395">
        <v>0.1</v>
      </c>
      <c r="P36" s="388">
        <f>ROUNDDOWN($D36*O36,2)</f>
        <v>182944.6</v>
      </c>
      <c r="Q36" s="395">
        <v>0.1</v>
      </c>
      <c r="R36" s="388">
        <f>ROUNDDOWN($D36*Q36,2)</f>
        <v>182944.6</v>
      </c>
      <c r="S36" s="395">
        <v>0.1</v>
      </c>
      <c r="T36" s="388">
        <f>ROUNDDOWN($D36*S36,2)</f>
        <v>182944.6</v>
      </c>
      <c r="U36" s="395">
        <v>0.1</v>
      </c>
      <c r="V36" s="388">
        <f>ROUNDUP($D36*U36,2)</f>
        <v>182944.61</v>
      </c>
      <c r="W36" s="395">
        <v>0.1</v>
      </c>
      <c r="X36" s="388">
        <f>ROUNDUP($D36*W36,2)</f>
        <v>182944.61</v>
      </c>
      <c r="Y36" s="395"/>
      <c r="Z36" s="395"/>
      <c r="AA36" s="395"/>
      <c r="AB36" s="1490"/>
      <c r="AC36" s="390">
        <f>SUM(AA36,Y36,W36,U36,S36,Q36,O36,M36,K36,I36,G36,E36)</f>
        <v>1</v>
      </c>
      <c r="AD36" s="1353">
        <f>SUM(AB36,Z36,X36,V36,T36,R36,P36,N36,L36,J36,H36,F36)</f>
        <v>1829446.07</v>
      </c>
      <c r="AE36" s="540">
        <f>AD36-D36</f>
        <v>0</v>
      </c>
    </row>
    <row r="37" spans="1:267">
      <c r="A37" s="1943"/>
      <c r="B37" s="1946"/>
      <c r="C37" s="1944"/>
      <c r="D37" s="1945"/>
      <c r="E37" s="399"/>
      <c r="F37" s="400"/>
      <c r="G37" s="399"/>
      <c r="H37" s="400"/>
      <c r="I37" s="399"/>
      <c r="J37" s="400"/>
      <c r="K37" s="399"/>
      <c r="L37" s="400"/>
      <c r="M37" s="399"/>
      <c r="N37" s="400"/>
      <c r="O37" s="399"/>
      <c r="P37" s="400"/>
      <c r="Q37" s="399"/>
      <c r="R37" s="400"/>
      <c r="S37" s="399"/>
      <c r="T37" s="400"/>
      <c r="U37" s="399"/>
      <c r="V37" s="400"/>
      <c r="W37" s="399"/>
      <c r="X37" s="400"/>
      <c r="Y37" s="466"/>
      <c r="Z37" s="466"/>
      <c r="AA37" s="466"/>
      <c r="AB37" s="1491"/>
      <c r="AC37" s="390">
        <f t="shared" ref="AC37" si="3">E37+G37+I37+K37+M37+AA37</f>
        <v>0</v>
      </c>
    </row>
    <row r="38" spans="1:267" ht="25.15" customHeight="1">
      <c r="A38" s="1955" t="s">
        <v>1885</v>
      </c>
      <c r="B38" s="382" t="s">
        <v>212</v>
      </c>
      <c r="C38" s="1944">
        <f>ROUND(SUM(C16:C36),2)</f>
        <v>1</v>
      </c>
      <c r="D38" s="1945">
        <f>ROUND(SUM(D16:D36),2)</f>
        <v>29644072.350000001</v>
      </c>
      <c r="E38" s="401">
        <f>F38/$D$66</f>
        <v>4.9200000000000001E-2</v>
      </c>
      <c r="F38" s="386">
        <f>F16+F18+F20+F22+F24+F32+F26+F28+F30+F36+F34</f>
        <v>2914038.37</v>
      </c>
      <c r="G38" s="401">
        <f>H38/$D$66</f>
        <v>4.9200000000000001E-2</v>
      </c>
      <c r="H38" s="386">
        <f>H16+H18+H20+H22+H24+H32+H26+H28+H30+H36+H34</f>
        <v>2914038.37</v>
      </c>
      <c r="I38" s="401">
        <f>J38/$D$66</f>
        <v>5.8000000000000003E-2</v>
      </c>
      <c r="J38" s="386">
        <f>J16+J18+J20+J22+J24+J32+J26+J28+J30+J36+J34</f>
        <v>3441173.72</v>
      </c>
      <c r="K38" s="401">
        <f>L38/$D$66</f>
        <v>5.8000000000000003E-2</v>
      </c>
      <c r="L38" s="386">
        <f>L16+L18+L20+L22+L24+L32+L26+L28+L30+L36+L34</f>
        <v>3441173.72</v>
      </c>
      <c r="M38" s="401">
        <f>N38/$D$66</f>
        <v>4.2799999999999998E-2</v>
      </c>
      <c r="N38" s="386">
        <f>N16+N18+N20+N22+N24+N32+N26+N28+N30+N36+N34</f>
        <v>2537444.92</v>
      </c>
      <c r="O38" s="401">
        <f>P38/$D$66</f>
        <v>4.2799999999999998E-2</v>
      </c>
      <c r="P38" s="386">
        <f>P16+P18+P20+P22+P24+P32+P26+P28+P30+P36+P34</f>
        <v>2537444.91</v>
      </c>
      <c r="Q38" s="401">
        <f>R38/$D$66</f>
        <v>4.2799999999999998E-2</v>
      </c>
      <c r="R38" s="386">
        <f>R16+R18+R20+R22+R24+R32+R26+R28+R30+R36+R34</f>
        <v>2537444.91</v>
      </c>
      <c r="S38" s="401">
        <f>T38/$D$66</f>
        <v>4.2799999999999998E-2</v>
      </c>
      <c r="T38" s="386">
        <f>T16+T18+T20+T22+T24+T32+T26+T28+T30+T36+T34</f>
        <v>2537444.89</v>
      </c>
      <c r="U38" s="401">
        <f>V38/$D$66</f>
        <v>3.8199999999999998E-2</v>
      </c>
      <c r="V38" s="386">
        <f>V16+V18+V20+V22+V24+V32+V26+V28+V30+V36+V34</f>
        <v>2264174.19</v>
      </c>
      <c r="W38" s="401">
        <f>X38/$D$66</f>
        <v>3.8199999999999998E-2</v>
      </c>
      <c r="X38" s="386">
        <f>X16+X18+X20+X22+X24+X32+X26+X28+X30+X36+X34</f>
        <v>2264174.19</v>
      </c>
      <c r="Y38" s="401">
        <f>Z38/$D$66</f>
        <v>1.9E-2</v>
      </c>
      <c r="Z38" s="386">
        <f>Z16+Z18+Z20+Z22+Z24+Z32+Z26+Z28+Z30+Z36+Z34</f>
        <v>1127760.08</v>
      </c>
      <c r="AA38" s="401">
        <f>AB38/$D$66</f>
        <v>1.9E-2</v>
      </c>
      <c r="AB38" s="386">
        <f>AB16+AB18+AB20+AB22+AB24+AB32+AB26+AB28+AB30+AB36+AB34</f>
        <v>1127760.08</v>
      </c>
    </row>
    <row r="39" spans="1:267" ht="25.15" customHeight="1" thickBot="1">
      <c r="A39" s="1956"/>
      <c r="B39" s="402" t="s">
        <v>213</v>
      </c>
      <c r="C39" s="1957">
        <v>1</v>
      </c>
      <c r="D39" s="1958">
        <v>528609.18999999994</v>
      </c>
      <c r="E39" s="404">
        <f>F39/$D$66</f>
        <v>4.9200000000000001E-2</v>
      </c>
      <c r="F39" s="403">
        <f>F38</f>
        <v>2914038.37</v>
      </c>
      <c r="G39" s="404">
        <f>H39/$D$66</f>
        <v>9.8299999999999998E-2</v>
      </c>
      <c r="H39" s="403">
        <f>F39+H38</f>
        <v>5828076.7400000002</v>
      </c>
      <c r="I39" s="404">
        <f>J39/$D$66</f>
        <v>0.15629999999999999</v>
      </c>
      <c r="J39" s="403">
        <f>H39+J38</f>
        <v>9269250.4600000009</v>
      </c>
      <c r="K39" s="404">
        <f>L39/$D$66</f>
        <v>0.21440000000000001</v>
      </c>
      <c r="L39" s="403">
        <f>J39+L38</f>
        <v>12710424.18</v>
      </c>
      <c r="M39" s="404">
        <f>N39/$D$66</f>
        <v>0.25719999999999998</v>
      </c>
      <c r="N39" s="403">
        <f>L39+N38</f>
        <v>15247869.1</v>
      </c>
      <c r="O39" s="404">
        <f>P39/$D$66</f>
        <v>0.3</v>
      </c>
      <c r="P39" s="403">
        <f>N39+P38</f>
        <v>17785314.010000002</v>
      </c>
      <c r="Q39" s="404">
        <f>R39/$D$66</f>
        <v>0.34279999999999999</v>
      </c>
      <c r="R39" s="403">
        <f>P39+R38</f>
        <v>20322758.920000002</v>
      </c>
      <c r="S39" s="404">
        <f>T39/$D$66</f>
        <v>0.3856</v>
      </c>
      <c r="T39" s="403">
        <f>R39+T38</f>
        <v>22860203.809999999</v>
      </c>
      <c r="U39" s="404">
        <f>V39/$D$66</f>
        <v>0.42380000000000001</v>
      </c>
      <c r="V39" s="403">
        <f>T39+V38</f>
        <v>25124378</v>
      </c>
      <c r="W39" s="404">
        <f>X39/$D$66</f>
        <v>0.46200000000000002</v>
      </c>
      <c r="X39" s="403">
        <f>V39+X38</f>
        <v>27388552.190000001</v>
      </c>
      <c r="Y39" s="404">
        <f>Z39/$D$66</f>
        <v>0.48099999999999998</v>
      </c>
      <c r="Z39" s="403">
        <f>X39+Z38</f>
        <v>28516312.27</v>
      </c>
      <c r="AA39" s="404">
        <f>AB39/$D$66</f>
        <v>0.5</v>
      </c>
      <c r="AB39" s="403">
        <f>Z39+AB38</f>
        <v>29644072.350000001</v>
      </c>
      <c r="AC39" s="1352">
        <f>'PLANILHA GERAL'!K279</f>
        <v>59288144.700000003</v>
      </c>
      <c r="AD39" s="540">
        <f>AC39-AB39</f>
        <v>29644072.350000001</v>
      </c>
      <c r="AE39" s="540">
        <f>SUM(AE16:AE36)</f>
        <v>0</v>
      </c>
    </row>
    <row r="40" spans="1:267" s="235" customFormat="1" ht="23.25" customHeight="1" thickBot="1">
      <c r="A40" s="1949" t="s">
        <v>6</v>
      </c>
      <c r="B40" s="1950" t="s">
        <v>207</v>
      </c>
      <c r="C40" s="1950" t="s">
        <v>208</v>
      </c>
      <c r="D40" s="1952" t="s">
        <v>209</v>
      </c>
      <c r="E40" s="1959" t="s">
        <v>1840</v>
      </c>
      <c r="F40" s="1960"/>
      <c r="G40" s="1960"/>
      <c r="H40" s="1960"/>
      <c r="I40" s="1960"/>
      <c r="J40" s="1960"/>
      <c r="K40" s="1960"/>
      <c r="L40" s="1960"/>
      <c r="M40" s="1960"/>
      <c r="N40" s="1960"/>
      <c r="O40" s="1960"/>
      <c r="P40" s="1960"/>
      <c r="Q40" s="1960"/>
      <c r="R40" s="1960"/>
      <c r="S40" s="1960"/>
      <c r="T40" s="1960"/>
      <c r="U40" s="1960"/>
      <c r="V40" s="1960"/>
      <c r="W40" s="1960"/>
      <c r="X40" s="1960"/>
      <c r="Y40" s="1960"/>
      <c r="Z40" s="1960"/>
      <c r="AA40" s="1960"/>
      <c r="AB40" s="1961"/>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row>
    <row r="41" spans="1:267" s="235" customFormat="1" ht="23.25" customHeight="1">
      <c r="A41" s="1943"/>
      <c r="B41" s="1951" t="s">
        <v>207</v>
      </c>
      <c r="C41" s="1951" t="s">
        <v>210</v>
      </c>
      <c r="D41" s="1953"/>
      <c r="E41" s="1988">
        <f>AA14+1</f>
        <v>13</v>
      </c>
      <c r="F41" s="1948"/>
      <c r="G41" s="1988">
        <f>E41+1</f>
        <v>14</v>
      </c>
      <c r="H41" s="1948"/>
      <c r="I41" s="1988">
        <f>G41+1</f>
        <v>15</v>
      </c>
      <c r="J41" s="1948"/>
      <c r="K41" s="1988">
        <f>I41+1</f>
        <v>16</v>
      </c>
      <c r="L41" s="1948"/>
      <c r="M41" s="1988">
        <f>K41+1</f>
        <v>17</v>
      </c>
      <c r="N41" s="1948"/>
      <c r="O41" s="1988">
        <f>M41+1</f>
        <v>18</v>
      </c>
      <c r="P41" s="1948"/>
      <c r="Q41" s="1988">
        <f t="shared" ref="Q41" si="4">O41+1</f>
        <v>19</v>
      </c>
      <c r="R41" s="1948"/>
      <c r="S41" s="1988">
        <f t="shared" ref="S41" si="5">Q41+1</f>
        <v>20</v>
      </c>
      <c r="T41" s="1948"/>
      <c r="U41" s="1988">
        <f t="shared" ref="U41" si="6">S41+1</f>
        <v>21</v>
      </c>
      <c r="V41" s="1948"/>
      <c r="W41" s="1988">
        <f t="shared" ref="W41" si="7">U41+1</f>
        <v>22</v>
      </c>
      <c r="X41" s="1948"/>
      <c r="Y41" s="1988">
        <f>W41+1</f>
        <v>23</v>
      </c>
      <c r="Z41" s="1948"/>
      <c r="AA41" s="1988">
        <f>Y41+1</f>
        <v>24</v>
      </c>
      <c r="AB41" s="1948"/>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3"/>
      <c r="DV41" s="113"/>
      <c r="DW41" s="113"/>
      <c r="DX41" s="113"/>
      <c r="DY41" s="113"/>
      <c r="DZ41" s="113"/>
      <c r="EA41" s="113"/>
      <c r="EB41" s="113"/>
      <c r="EC41" s="113"/>
      <c r="ED41" s="113"/>
      <c r="EE41" s="113"/>
      <c r="EF41" s="113"/>
      <c r="EG41" s="113"/>
      <c r="EH41" s="113"/>
      <c r="EI41" s="113"/>
      <c r="EJ41" s="113"/>
      <c r="EK41" s="113"/>
      <c r="EL41" s="113"/>
      <c r="EM41" s="113"/>
      <c r="EN41" s="113"/>
      <c r="EO41" s="113"/>
      <c r="EP41" s="113"/>
      <c r="EQ41" s="113"/>
      <c r="ER41" s="113"/>
      <c r="ES41" s="113"/>
      <c r="ET41" s="113"/>
      <c r="EU41" s="113"/>
      <c r="EV41" s="113"/>
      <c r="EW41" s="113"/>
      <c r="EX41" s="113"/>
      <c r="EY41" s="113"/>
      <c r="EZ41" s="113"/>
      <c r="FA41" s="113"/>
      <c r="FB41" s="113"/>
      <c r="FC41" s="113"/>
      <c r="FD41" s="113"/>
      <c r="FE41" s="113"/>
      <c r="FF41" s="113"/>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113"/>
      <c r="IP41" s="113"/>
      <c r="IQ41" s="113"/>
      <c r="IR41" s="113"/>
      <c r="IS41" s="113"/>
      <c r="IT41" s="113"/>
      <c r="IU41" s="113"/>
      <c r="IV41" s="113"/>
      <c r="IW41" s="113"/>
      <c r="IX41" s="113"/>
      <c r="IY41" s="113"/>
      <c r="IZ41" s="113"/>
      <c r="JA41" s="113"/>
      <c r="JB41" s="113"/>
      <c r="JC41" s="113"/>
      <c r="JD41" s="113"/>
      <c r="JE41" s="113"/>
      <c r="JF41" s="113"/>
      <c r="JG41" s="113"/>
    </row>
    <row r="42" spans="1:267">
      <c r="A42" s="1943"/>
      <c r="B42" s="1951"/>
      <c r="C42" s="1951"/>
      <c r="D42" s="1953"/>
      <c r="E42" s="383" t="s">
        <v>210</v>
      </c>
      <c r="F42" s="384" t="s">
        <v>211</v>
      </c>
      <c r="G42" s="385" t="s">
        <v>210</v>
      </c>
      <c r="H42" s="384" t="s">
        <v>211</v>
      </c>
      <c r="I42" s="385" t="s">
        <v>210</v>
      </c>
      <c r="J42" s="384" t="s">
        <v>211</v>
      </c>
      <c r="K42" s="385" t="s">
        <v>210</v>
      </c>
      <c r="L42" s="384" t="s">
        <v>211</v>
      </c>
      <c r="M42" s="385" t="s">
        <v>210</v>
      </c>
      <c r="N42" s="384" t="s">
        <v>211</v>
      </c>
      <c r="O42" s="385" t="s">
        <v>210</v>
      </c>
      <c r="P42" s="384" t="s">
        <v>211</v>
      </c>
      <c r="Q42" s="385" t="s">
        <v>210</v>
      </c>
      <c r="R42" s="384" t="s">
        <v>211</v>
      </c>
      <c r="S42" s="385" t="s">
        <v>210</v>
      </c>
      <c r="T42" s="384" t="s">
        <v>211</v>
      </c>
      <c r="U42" s="385" t="s">
        <v>210</v>
      </c>
      <c r="V42" s="384" t="s">
        <v>211</v>
      </c>
      <c r="W42" s="385" t="s">
        <v>210</v>
      </c>
      <c r="X42" s="384" t="s">
        <v>211</v>
      </c>
      <c r="Y42" s="385" t="s">
        <v>210</v>
      </c>
      <c r="Z42" s="384" t="s">
        <v>211</v>
      </c>
      <c r="AA42" s="385" t="s">
        <v>210</v>
      </c>
      <c r="AB42" s="384" t="s">
        <v>211</v>
      </c>
    </row>
    <row r="43" spans="1:267" ht="30" customHeight="1">
      <c r="A43" s="1943">
        <f>A16</f>
        <v>1</v>
      </c>
      <c r="B43" s="1946" t="str">
        <f>B16</f>
        <v>SERVIÇOS PRELIMINARES</v>
      </c>
      <c r="C43" s="1944">
        <f>C16</f>
        <v>4.1000000000000003E-3</v>
      </c>
      <c r="D43" s="1945">
        <f>D16</f>
        <v>121249.82</v>
      </c>
      <c r="E43" s="387">
        <v>0.1</v>
      </c>
      <c r="F43" s="388">
        <f>ROUND($D43*E43,2)</f>
        <v>12124.98</v>
      </c>
      <c r="G43" s="389">
        <v>0.1</v>
      </c>
      <c r="H43" s="388">
        <f>ROUND($D43*G43,2)</f>
        <v>12124.98</v>
      </c>
      <c r="I43" s="389">
        <v>0.08</v>
      </c>
      <c r="J43" s="388">
        <f>ROUND($D43*I43,2)</f>
        <v>9699.99</v>
      </c>
      <c r="K43" s="389">
        <v>0.08</v>
      </c>
      <c r="L43" s="388">
        <f>ROUND($D43*K43,2)</f>
        <v>9699.99</v>
      </c>
      <c r="M43" s="389">
        <v>0.08</v>
      </c>
      <c r="N43" s="388">
        <f>ROUND($D43*M43,2)</f>
        <v>9699.99</v>
      </c>
      <c r="O43" s="389">
        <v>0.08</v>
      </c>
      <c r="P43" s="388">
        <f>ROUND($D43*O43,2)</f>
        <v>9699.99</v>
      </c>
      <c r="Q43" s="389">
        <v>0.08</v>
      </c>
      <c r="R43" s="388">
        <f>ROUND($D43*Q43,2)</f>
        <v>9699.99</v>
      </c>
      <c r="S43" s="389">
        <v>0.08</v>
      </c>
      <c r="T43" s="388">
        <f>ROUND($D43*S43,2)</f>
        <v>9699.99</v>
      </c>
      <c r="U43" s="389">
        <v>0.08</v>
      </c>
      <c r="V43" s="388">
        <f>ROUNDDOWN($D43*U43,2)</f>
        <v>9699.98</v>
      </c>
      <c r="W43" s="389">
        <v>0.08</v>
      </c>
      <c r="X43" s="388">
        <f>ROUNDDOWN($D43*W43,2)</f>
        <v>9699.98</v>
      </c>
      <c r="Y43" s="389">
        <v>0.08</v>
      </c>
      <c r="Z43" s="388">
        <f>ROUNDDOWN($D43*Y43,2)</f>
        <v>9699.98</v>
      </c>
      <c r="AA43" s="389">
        <v>0.08</v>
      </c>
      <c r="AB43" s="388">
        <f>ROUNDDOWN($D43*AA43,2)</f>
        <v>9699.98</v>
      </c>
      <c r="AC43" s="390">
        <f>SUM(AA43,Y43,W43,U43,S43,Q43,O43,M43,K43,I43,G43,E43)</f>
        <v>1</v>
      </c>
      <c r="AD43" s="1353">
        <f>SUM(AB43,Z43,X43,V43,T43,R43,P43,N43,L43,J43,H43,F43)</f>
        <v>121249.82</v>
      </c>
      <c r="AE43" s="540">
        <f>AD43-D43</f>
        <v>0</v>
      </c>
    </row>
    <row r="44" spans="1:267">
      <c r="A44" s="1943"/>
      <c r="B44" s="1946"/>
      <c r="C44" s="1944"/>
      <c r="D44" s="1945"/>
      <c r="E44" s="391"/>
      <c r="F44" s="392"/>
      <c r="G44" s="393"/>
      <c r="H44" s="392"/>
      <c r="I44" s="394"/>
      <c r="J44" s="392"/>
      <c r="K44" s="394"/>
      <c r="L44" s="392"/>
      <c r="M44" s="394"/>
      <c r="N44" s="392"/>
      <c r="O44" s="394"/>
      <c r="P44" s="392"/>
      <c r="Q44" s="394"/>
      <c r="R44" s="392"/>
      <c r="S44" s="394"/>
      <c r="T44" s="392"/>
      <c r="U44" s="394"/>
      <c r="V44" s="392"/>
      <c r="W44" s="394"/>
      <c r="X44" s="392"/>
      <c r="Y44" s="394"/>
      <c r="Z44" s="392"/>
      <c r="AA44" s="394"/>
      <c r="AB44" s="392"/>
      <c r="AC44" s="390">
        <f t="shared" ref="AC44" si="8">E44+G44+I44+K44+M44+AA44</f>
        <v>0</v>
      </c>
    </row>
    <row r="45" spans="1:267" ht="30" customHeight="1">
      <c r="A45" s="1943">
        <f t="shared" ref="A45:D45" si="9">A18</f>
        <v>2</v>
      </c>
      <c r="B45" s="1946" t="str">
        <f t="shared" si="9"/>
        <v>DEMOLIÇÕES E RETIRADAS</v>
      </c>
      <c r="C45" s="1944">
        <f t="shared" si="9"/>
        <v>1.8100000000000002E-2</v>
      </c>
      <c r="D45" s="1945">
        <f t="shared" si="9"/>
        <v>535172.18000000005</v>
      </c>
      <c r="E45" s="395">
        <v>0.1</v>
      </c>
      <c r="F45" s="388">
        <f>ROUND($D45*E45,2)</f>
        <v>53517.22</v>
      </c>
      <c r="G45" s="395">
        <v>0.1</v>
      </c>
      <c r="H45" s="388">
        <f>ROUND($D45*G45,2)</f>
        <v>53517.22</v>
      </c>
      <c r="I45" s="395">
        <v>0.1</v>
      </c>
      <c r="J45" s="388">
        <f>ROUND($D45*I45,2)</f>
        <v>53517.22</v>
      </c>
      <c r="K45" s="395">
        <v>0.1</v>
      </c>
      <c r="L45" s="388">
        <f>ROUND($D45*K45,2)</f>
        <v>53517.22</v>
      </c>
      <c r="M45" s="395">
        <v>0.1</v>
      </c>
      <c r="N45" s="388">
        <f>ROUND($D45*M45,2)</f>
        <v>53517.22</v>
      </c>
      <c r="O45" s="395">
        <v>0.1</v>
      </c>
      <c r="P45" s="388">
        <f>ROUND($D45*O45,2)</f>
        <v>53517.22</v>
      </c>
      <c r="Q45" s="395">
        <v>0.1</v>
      </c>
      <c r="R45" s="388">
        <f>ROUND($D45*Q45,2)</f>
        <v>53517.22</v>
      </c>
      <c r="S45" s="395">
        <v>0.1</v>
      </c>
      <c r="T45" s="388">
        <f>ROUND($D45*S45,2)</f>
        <v>53517.22</v>
      </c>
      <c r="U45" s="395">
        <v>0.1</v>
      </c>
      <c r="V45" s="388">
        <f>ROUNDDOWN($D45*U45,2)</f>
        <v>53517.21</v>
      </c>
      <c r="W45" s="395">
        <v>0.1</v>
      </c>
      <c r="X45" s="388">
        <f>ROUNDDOWN($D45*W45,2)</f>
        <v>53517.21</v>
      </c>
      <c r="Y45" s="395"/>
      <c r="Z45" s="395"/>
      <c r="AA45" s="389"/>
      <c r="AB45" s="388"/>
      <c r="AC45" s="390">
        <f>SUM(AA45,Y45,W45,U45,S45,Q45,O45,M45,K45,I45,G45,E45)</f>
        <v>1</v>
      </c>
      <c r="AD45" s="1353">
        <f>SUM(AB45,Z45,X45,V45,T45,R45,P45,N45,L45,J45,H45,F45)</f>
        <v>535172.18000000005</v>
      </c>
      <c r="AE45" s="540">
        <f>AD45-D45</f>
        <v>0</v>
      </c>
    </row>
    <row r="46" spans="1:267">
      <c r="A46" s="1943"/>
      <c r="B46" s="1946"/>
      <c r="C46" s="1944"/>
      <c r="D46" s="1945"/>
      <c r="E46" s="399"/>
      <c r="F46" s="400"/>
      <c r="G46" s="399"/>
      <c r="H46" s="400"/>
      <c r="I46" s="399"/>
      <c r="J46" s="400"/>
      <c r="K46" s="399"/>
      <c r="L46" s="400"/>
      <c r="M46" s="399"/>
      <c r="N46" s="400"/>
      <c r="O46" s="399"/>
      <c r="P46" s="400"/>
      <c r="Q46" s="399"/>
      <c r="R46" s="400"/>
      <c r="S46" s="399"/>
      <c r="T46" s="400"/>
      <c r="U46" s="399"/>
      <c r="V46" s="400"/>
      <c r="W46" s="399"/>
      <c r="X46" s="400"/>
      <c r="Y46" s="466"/>
      <c r="Z46" s="466"/>
      <c r="AA46" s="466"/>
      <c r="AB46" s="388"/>
      <c r="AC46" s="390">
        <f t="shared" ref="AC46" si="10">E46+G46+I46+K46+M46+AA46</f>
        <v>0</v>
      </c>
    </row>
    <row r="47" spans="1:267" ht="30" customHeight="1">
      <c r="A47" s="1943">
        <f t="shared" ref="A47:D47" si="11">A20</f>
        <v>3</v>
      </c>
      <c r="B47" s="1946" t="str">
        <f t="shared" si="11"/>
        <v>SERVIÇOS DE DRENAGEM SUPERFICIAL</v>
      </c>
      <c r="C47" s="1944">
        <f t="shared" si="11"/>
        <v>5.3900000000000003E-2</v>
      </c>
      <c r="D47" s="1945">
        <f t="shared" si="11"/>
        <v>1598612.43</v>
      </c>
      <c r="E47" s="395">
        <v>0.1</v>
      </c>
      <c r="F47" s="388">
        <f>ROUND($D47*E47,2)</f>
        <v>159861.24</v>
      </c>
      <c r="G47" s="395">
        <v>0.1</v>
      </c>
      <c r="H47" s="388">
        <f>ROUND($D47*G47,2)</f>
        <v>159861.24</v>
      </c>
      <c r="I47" s="395">
        <v>0.1</v>
      </c>
      <c r="J47" s="388">
        <f>ROUND($D47*I47,2)</f>
        <v>159861.24</v>
      </c>
      <c r="K47" s="395">
        <v>0.1</v>
      </c>
      <c r="L47" s="388">
        <f>ROUND($D47*K47,2)</f>
        <v>159861.24</v>
      </c>
      <c r="M47" s="395">
        <v>0.1</v>
      </c>
      <c r="N47" s="388">
        <f>ROUND($D47*M47,2)</f>
        <v>159861.24</v>
      </c>
      <c r="O47" s="395">
        <v>0.1</v>
      </c>
      <c r="P47" s="388">
        <f>ROUND($D47*O47,2)</f>
        <v>159861.24</v>
      </c>
      <c r="Q47" s="395">
        <v>0.1</v>
      </c>
      <c r="R47" s="388">
        <f>ROUND($D47*Q47,2)</f>
        <v>159861.24</v>
      </c>
      <c r="S47" s="395">
        <v>0.1</v>
      </c>
      <c r="T47" s="388">
        <f>ROUNDUP($D47*S47,2)</f>
        <v>159861.25</v>
      </c>
      <c r="U47" s="395">
        <v>0.1</v>
      </c>
      <c r="V47" s="388">
        <f>ROUNDUP($D47*U47,2)</f>
        <v>159861.25</v>
      </c>
      <c r="W47" s="395">
        <v>0.1</v>
      </c>
      <c r="X47" s="388">
        <f>ROUNDUP($D47*W47,2)</f>
        <v>159861.25</v>
      </c>
      <c r="Y47" s="395"/>
      <c r="Z47" s="395"/>
      <c r="AA47" s="395"/>
      <c r="AB47" s="388">
        <f>ROUND($D47*AA47,2)</f>
        <v>0</v>
      </c>
      <c r="AC47" s="390">
        <f>SUM(AA47,Y47,W47,U47,S47,Q47,O47,M47,K47,I47,G47,E47)</f>
        <v>1</v>
      </c>
      <c r="AD47" s="1353">
        <f>SUM(AB47,Z47,X47,V47,T47,R47,P47,N47,L47,J47,H47,F47)</f>
        <v>1598612.43</v>
      </c>
      <c r="AE47" s="540">
        <f>AD47-D47</f>
        <v>0</v>
      </c>
    </row>
    <row r="48" spans="1:267" ht="6" customHeight="1">
      <c r="A48" s="1943"/>
      <c r="B48" s="1946"/>
      <c r="C48" s="1944"/>
      <c r="D48" s="1945"/>
      <c r="E48" s="399"/>
      <c r="F48" s="400"/>
      <c r="G48" s="399"/>
      <c r="H48" s="400"/>
      <c r="I48" s="399"/>
      <c r="J48" s="400"/>
      <c r="K48" s="399"/>
      <c r="L48" s="400"/>
      <c r="M48" s="399"/>
      <c r="N48" s="400"/>
      <c r="O48" s="399"/>
      <c r="P48" s="400"/>
      <c r="Q48" s="399"/>
      <c r="R48" s="400"/>
      <c r="S48" s="399"/>
      <c r="T48" s="400"/>
      <c r="U48" s="399"/>
      <c r="V48" s="400"/>
      <c r="W48" s="399"/>
      <c r="X48" s="400"/>
      <c r="Y48" s="466"/>
      <c r="Z48" s="466"/>
      <c r="AA48" s="466"/>
      <c r="AB48" s="388"/>
      <c r="AC48" s="390">
        <f t="shared" ref="AC48" si="12">E48+G48+I48+K48+M48+AA48</f>
        <v>0</v>
      </c>
    </row>
    <row r="49" spans="1:31" ht="30" customHeight="1">
      <c r="A49" s="1943">
        <f t="shared" ref="A49:D49" si="13">A22</f>
        <v>4</v>
      </c>
      <c r="B49" s="1946" t="str">
        <f t="shared" si="13"/>
        <v>SERVIÇOS DE DRENAGEM PROFUNDA</v>
      </c>
      <c r="C49" s="1944">
        <f t="shared" si="13"/>
        <v>0.19850000000000001</v>
      </c>
      <c r="D49" s="1945">
        <f t="shared" si="13"/>
        <v>5884997.6200000001</v>
      </c>
      <c r="E49" s="387">
        <v>0.3</v>
      </c>
      <c r="F49" s="388">
        <f>ROUND($D49*E49,2)</f>
        <v>1765499.29</v>
      </c>
      <c r="G49" s="395">
        <v>0.3</v>
      </c>
      <c r="H49" s="388">
        <f>ROUND($D49*G49,2)</f>
        <v>1765499.29</v>
      </c>
      <c r="I49" s="395">
        <v>0.2</v>
      </c>
      <c r="J49" s="388">
        <f>ROUND($D49*I49,2)</f>
        <v>1176999.52</v>
      </c>
      <c r="K49" s="395">
        <v>0.2</v>
      </c>
      <c r="L49" s="388">
        <f>ROUND($D49*K49,2)</f>
        <v>1176999.52</v>
      </c>
      <c r="M49" s="395"/>
      <c r="N49" s="388"/>
      <c r="O49" s="395"/>
      <c r="P49" s="388"/>
      <c r="Q49" s="395"/>
      <c r="R49" s="388"/>
      <c r="S49" s="395"/>
      <c r="T49" s="388"/>
      <c r="U49" s="395"/>
      <c r="V49" s="388"/>
      <c r="W49" s="395"/>
      <c r="X49" s="388"/>
      <c r="Y49" s="395"/>
      <c r="Z49" s="388"/>
      <c r="AA49" s="395"/>
      <c r="AB49" s="388"/>
      <c r="AC49" s="390">
        <f>SUM(AA49,Y49,W49,U49,S49,Q49,O49,M49,K49,I49,G49,E49)</f>
        <v>1</v>
      </c>
      <c r="AD49" s="1353">
        <f>SUM(AB49,Z49,X49,V49,T49,R49,P49,N49,L49,J49,H49,F49)</f>
        <v>5884997.6200000001</v>
      </c>
      <c r="AE49" s="540">
        <f>AD49-D49</f>
        <v>0</v>
      </c>
    </row>
    <row r="50" spans="1:31">
      <c r="A50" s="1943"/>
      <c r="B50" s="1946"/>
      <c r="C50" s="1944"/>
      <c r="D50" s="1945"/>
      <c r="E50" s="391"/>
      <c r="F50" s="392"/>
      <c r="G50" s="393"/>
      <c r="H50" s="392"/>
      <c r="I50" s="394"/>
      <c r="J50" s="392"/>
      <c r="K50" s="394"/>
      <c r="L50" s="392"/>
      <c r="M50" s="466"/>
      <c r="N50" s="388"/>
      <c r="O50" s="466"/>
      <c r="P50" s="388"/>
      <c r="Q50" s="466"/>
      <c r="R50" s="388"/>
      <c r="S50" s="466"/>
      <c r="T50" s="388"/>
      <c r="U50" s="466"/>
      <c r="V50" s="388"/>
      <c r="W50" s="466"/>
      <c r="X50" s="388"/>
      <c r="Y50" s="466"/>
      <c r="Z50" s="388"/>
      <c r="AA50" s="466"/>
      <c r="AB50" s="388"/>
      <c r="AC50" s="390">
        <f t="shared" ref="AC50" si="14">E50+G50+I50+K50+M50+AA50</f>
        <v>0</v>
      </c>
      <c r="AE50" s="540">
        <f>AD50-D50</f>
        <v>0</v>
      </c>
    </row>
    <row r="51" spans="1:31" ht="30" customHeight="1">
      <c r="A51" s="1943">
        <f t="shared" ref="A51:D51" si="15">A24</f>
        <v>5</v>
      </c>
      <c r="B51" s="1946" t="str">
        <f t="shared" si="15"/>
        <v>SERVIÇOS DE TERRAPLENAGEM</v>
      </c>
      <c r="C51" s="1944">
        <f t="shared" si="15"/>
        <v>0.1394</v>
      </c>
      <c r="D51" s="1945">
        <f t="shared" si="15"/>
        <v>4132271.89</v>
      </c>
      <c r="E51" s="395">
        <v>0.1</v>
      </c>
      <c r="F51" s="388">
        <f>ROUND($D51*E51,2)</f>
        <v>413227.19</v>
      </c>
      <c r="G51" s="395">
        <v>0.1</v>
      </c>
      <c r="H51" s="388">
        <f>ROUND($D51*G51,2)</f>
        <v>413227.19</v>
      </c>
      <c r="I51" s="395">
        <v>0.1</v>
      </c>
      <c r="J51" s="388">
        <f>ROUND($D51*I51,2)</f>
        <v>413227.19</v>
      </c>
      <c r="K51" s="395">
        <v>0.1</v>
      </c>
      <c r="L51" s="388">
        <f>ROUND($D51*K51,2)</f>
        <v>413227.19</v>
      </c>
      <c r="M51" s="395">
        <v>0.1</v>
      </c>
      <c r="N51" s="388">
        <f>ROUND($D51*M51,2)</f>
        <v>413227.19</v>
      </c>
      <c r="O51" s="395">
        <v>0.1</v>
      </c>
      <c r="P51" s="388">
        <f>ROUND($D51*O51,2)</f>
        <v>413227.19</v>
      </c>
      <c r="Q51" s="395">
        <v>0.1</v>
      </c>
      <c r="R51" s="388">
        <f>ROUND($D51*Q51,2)</f>
        <v>413227.19</v>
      </c>
      <c r="S51" s="395">
        <v>0.1</v>
      </c>
      <c r="T51" s="388">
        <f>ROUNDDOWN($D51*S51,2)</f>
        <v>413227.18</v>
      </c>
      <c r="U51" s="395">
        <v>0.1</v>
      </c>
      <c r="V51" s="388">
        <f>ROUNDUP($D51*U51,2)</f>
        <v>413227.19</v>
      </c>
      <c r="W51" s="395">
        <v>0.1</v>
      </c>
      <c r="X51" s="388">
        <f>ROUNDUP($D51*W51,2)</f>
        <v>413227.19</v>
      </c>
      <c r="Y51" s="395"/>
      <c r="Z51" s="388"/>
      <c r="AA51" s="395"/>
      <c r="AB51" s="388"/>
      <c r="AC51" s="390">
        <f>SUM(AA51,Y51,W51,U51,S51,Q51,O51,M51,K51,I51,G51,E51)</f>
        <v>1</v>
      </c>
      <c r="AD51" s="1353">
        <f>SUM(AB51,Z51,X51,V51,T51,R51,P51,N51,L51,J51,H51,F51)</f>
        <v>4132271.89</v>
      </c>
      <c r="AE51" s="540">
        <f>AD51-D51</f>
        <v>0</v>
      </c>
    </row>
    <row r="52" spans="1:31">
      <c r="A52" s="1943"/>
      <c r="B52" s="1946"/>
      <c r="C52" s="1944"/>
      <c r="D52" s="1945"/>
      <c r="E52" s="399"/>
      <c r="F52" s="400"/>
      <c r="G52" s="399"/>
      <c r="H52" s="400"/>
      <c r="I52" s="399"/>
      <c r="J52" s="400"/>
      <c r="K52" s="399"/>
      <c r="L52" s="400"/>
      <c r="M52" s="399"/>
      <c r="N52" s="400"/>
      <c r="O52" s="399"/>
      <c r="P52" s="400"/>
      <c r="Q52" s="399"/>
      <c r="R52" s="400"/>
      <c r="S52" s="399"/>
      <c r="T52" s="400"/>
      <c r="U52" s="399"/>
      <c r="V52" s="400"/>
      <c r="W52" s="399"/>
      <c r="X52" s="400"/>
      <c r="Y52" s="466"/>
      <c r="Z52" s="388"/>
      <c r="AA52" s="466"/>
      <c r="AB52" s="388"/>
      <c r="AC52" s="390">
        <f t="shared" ref="AC52" si="16">E52+G52+I52+K52+M52+AA52</f>
        <v>0</v>
      </c>
    </row>
    <row r="53" spans="1:31" ht="30" customHeight="1">
      <c r="A53" s="1943">
        <f t="shared" ref="A53:D53" si="17">A26</f>
        <v>6</v>
      </c>
      <c r="B53" s="1946" t="str">
        <f t="shared" si="17"/>
        <v>SERVIÇOS DE CAIXA PRIMÁRIA</v>
      </c>
      <c r="C53" s="1944">
        <f t="shared" si="17"/>
        <v>0.1103</v>
      </c>
      <c r="D53" s="1945">
        <f t="shared" si="17"/>
        <v>3268638.42</v>
      </c>
      <c r="E53" s="395">
        <v>0.1</v>
      </c>
      <c r="F53" s="388">
        <f>ROUND($D53*E53,2)</f>
        <v>326863.84000000003</v>
      </c>
      <c r="G53" s="395">
        <v>0.1</v>
      </c>
      <c r="H53" s="388">
        <f>ROUND($D53*G53,2)</f>
        <v>326863.84000000003</v>
      </c>
      <c r="I53" s="395">
        <v>0.1</v>
      </c>
      <c r="J53" s="388">
        <f>ROUND($D53*I53,2)</f>
        <v>326863.84000000003</v>
      </c>
      <c r="K53" s="395">
        <v>0.1</v>
      </c>
      <c r="L53" s="388">
        <f>ROUND($D53*K53,2)</f>
        <v>326863.84000000003</v>
      </c>
      <c r="M53" s="395">
        <v>0.1</v>
      </c>
      <c r="N53" s="388">
        <f>ROUND($D53*M53,2)</f>
        <v>326863.84000000003</v>
      </c>
      <c r="O53" s="395">
        <v>0.1</v>
      </c>
      <c r="P53" s="388">
        <f>ROUND($D53*O53,2)</f>
        <v>326863.84000000003</v>
      </c>
      <c r="Q53" s="395">
        <v>0.1</v>
      </c>
      <c r="R53" s="388">
        <f>ROUND($D53*Q53,2)</f>
        <v>326863.84000000003</v>
      </c>
      <c r="S53" s="395">
        <v>0.1</v>
      </c>
      <c r="T53" s="388">
        <f>ROUND($D53*S53,2)</f>
        <v>326863.84000000003</v>
      </c>
      <c r="U53" s="395">
        <v>0.1</v>
      </c>
      <c r="V53" s="388">
        <f>ROUNDUP($D53*U53,2)</f>
        <v>326863.84999999998</v>
      </c>
      <c r="W53" s="395">
        <v>0.1</v>
      </c>
      <c r="X53" s="388">
        <f>ROUNDUP($D53*W53,2)</f>
        <v>326863.84999999998</v>
      </c>
      <c r="Y53" s="395"/>
      <c r="Z53" s="388"/>
      <c r="AA53" s="395"/>
      <c r="AB53" s="388"/>
      <c r="AC53" s="390">
        <f>SUM(AA53,Y53,W53,U53,S53,Q53,O53,M53,K53,I53,G53,E53)</f>
        <v>1</v>
      </c>
      <c r="AD53" s="1353">
        <f>SUM(AB53,Z53,X53,V53,T53,R53,P53,N53,L53,J53,H53,F53)</f>
        <v>3268638.42</v>
      </c>
      <c r="AE53" s="540">
        <f>AD53-D53</f>
        <v>0</v>
      </c>
    </row>
    <row r="54" spans="1:31">
      <c r="A54" s="1943"/>
      <c r="B54" s="1946"/>
      <c r="C54" s="1944"/>
      <c r="D54" s="1945"/>
      <c r="E54" s="399"/>
      <c r="F54" s="400"/>
      <c r="G54" s="399"/>
      <c r="H54" s="400"/>
      <c r="I54" s="399"/>
      <c r="J54" s="400"/>
      <c r="K54" s="399"/>
      <c r="L54" s="400"/>
      <c r="M54" s="399"/>
      <c r="N54" s="400"/>
      <c r="O54" s="399"/>
      <c r="P54" s="400"/>
      <c r="Q54" s="399"/>
      <c r="R54" s="400"/>
      <c r="S54" s="399"/>
      <c r="T54" s="400"/>
      <c r="U54" s="399"/>
      <c r="V54" s="400"/>
      <c r="W54" s="399"/>
      <c r="X54" s="400"/>
      <c r="Y54" s="466"/>
      <c r="Z54" s="388"/>
      <c r="AA54" s="466"/>
      <c r="AB54" s="388"/>
      <c r="AC54" s="390">
        <f t="shared" ref="AC54" si="18">E54+G54+I54+K54+M54+AA54</f>
        <v>0</v>
      </c>
    </row>
    <row r="55" spans="1:31" ht="30" customHeight="1">
      <c r="A55" s="1943">
        <f t="shared" ref="A55:D55" si="19">A28</f>
        <v>7</v>
      </c>
      <c r="B55" s="1946" t="str">
        <f t="shared" si="19"/>
        <v>SERVIÇOS DE REVESTIMENTO</v>
      </c>
      <c r="C55" s="1944">
        <f t="shared" si="19"/>
        <v>0.37480000000000002</v>
      </c>
      <c r="D55" s="1945">
        <f t="shared" si="19"/>
        <v>11109281.550000001</v>
      </c>
      <c r="E55" s="387"/>
      <c r="F55" s="388">
        <f>ROUND($D55*E55,2)</f>
        <v>0</v>
      </c>
      <c r="G55" s="395"/>
      <c r="H55" s="388">
        <f>ROUND($D55*G55,2)</f>
        <v>0</v>
      </c>
      <c r="I55" s="395">
        <v>0.1</v>
      </c>
      <c r="J55" s="388">
        <f>ROUND($D55*I55,2)</f>
        <v>1110928.1599999999</v>
      </c>
      <c r="K55" s="395">
        <v>0.1</v>
      </c>
      <c r="L55" s="388">
        <f>ROUND($D55*K55,2)</f>
        <v>1110928.1599999999</v>
      </c>
      <c r="M55" s="395">
        <v>0.1</v>
      </c>
      <c r="N55" s="388">
        <f>ROUND($D55*M55,2)</f>
        <v>1110928.1599999999</v>
      </c>
      <c r="O55" s="395">
        <v>0.1</v>
      </c>
      <c r="P55" s="388">
        <f>ROUND($D55*O55,2)</f>
        <v>1110928.1599999999</v>
      </c>
      <c r="Q55" s="395">
        <v>0.1</v>
      </c>
      <c r="R55" s="388">
        <f>ROUND($D55*Q55,2)</f>
        <v>1110928.1599999999</v>
      </c>
      <c r="S55" s="395">
        <v>0.1</v>
      </c>
      <c r="T55" s="388">
        <f>ROUNDDOWN($D55*S55,2)</f>
        <v>1110928.1499999999</v>
      </c>
      <c r="U55" s="395">
        <v>0.1</v>
      </c>
      <c r="V55" s="388">
        <f>ROUNDDOWN($D55*U55,2)</f>
        <v>1110928.1499999999</v>
      </c>
      <c r="W55" s="395">
        <v>0.1</v>
      </c>
      <c r="X55" s="388">
        <f>ROUNDDOWN($D55*W55,2)</f>
        <v>1110928.1499999999</v>
      </c>
      <c r="Y55" s="395">
        <v>0.1</v>
      </c>
      <c r="Z55" s="388">
        <f>ROUNDDOWN($D55*Y55,2)</f>
        <v>1110928.1499999999</v>
      </c>
      <c r="AA55" s="395">
        <v>0.1</v>
      </c>
      <c r="AB55" s="388">
        <f>ROUNDDOWN($D55*AA55,2)</f>
        <v>1110928.1499999999</v>
      </c>
      <c r="AC55" s="390">
        <f>SUM(AA55,Y55,W55,U55,S55,Q55,O55,M55,K55,I55,G55,E55)</f>
        <v>1</v>
      </c>
      <c r="AD55" s="1353">
        <f>SUM(AB55,Z55,X55,V55,T55,R55,P55,N55,L55,J55,H55,F55)</f>
        <v>11109281.550000001</v>
      </c>
      <c r="AE55" s="540">
        <f>AD55-D55</f>
        <v>0</v>
      </c>
    </row>
    <row r="56" spans="1:31">
      <c r="A56" s="1943"/>
      <c r="B56" s="1946"/>
      <c r="C56" s="1944"/>
      <c r="D56" s="1945"/>
      <c r="E56" s="396"/>
      <c r="F56" s="397"/>
      <c r="G56" s="398"/>
      <c r="H56" s="397"/>
      <c r="I56" s="399"/>
      <c r="J56" s="400"/>
      <c r="K56" s="399"/>
      <c r="L56" s="400"/>
      <c r="M56" s="399"/>
      <c r="N56" s="400"/>
      <c r="O56" s="399"/>
      <c r="P56" s="400"/>
      <c r="Q56" s="399"/>
      <c r="R56" s="400"/>
      <c r="S56" s="399"/>
      <c r="T56" s="400"/>
      <c r="U56" s="399"/>
      <c r="V56" s="400"/>
      <c r="W56" s="399"/>
      <c r="X56" s="400"/>
      <c r="Y56" s="399"/>
      <c r="Z56" s="400"/>
      <c r="AA56" s="399"/>
      <c r="AB56" s="400"/>
      <c r="AC56" s="390">
        <f t="shared" ref="AC56" si="20">E56+G56+I56+K56+M56+AA56</f>
        <v>0</v>
      </c>
    </row>
    <row r="57" spans="1:31" ht="30" customHeight="1">
      <c r="A57" s="1943">
        <f t="shared" ref="A57:D57" si="21">A30</f>
        <v>8</v>
      </c>
      <c r="B57" s="1946" t="str">
        <f t="shared" si="21"/>
        <v>LIMPEZA FINAL</v>
      </c>
      <c r="C57" s="1944">
        <f t="shared" si="21"/>
        <v>2.3999999999999998E-3</v>
      </c>
      <c r="D57" s="1945">
        <f t="shared" si="21"/>
        <v>71319.5</v>
      </c>
      <c r="E57" s="387"/>
      <c r="F57" s="388">
        <f>ROUND($D57*E57,2)</f>
        <v>0</v>
      </c>
      <c r="G57" s="395"/>
      <c r="H57" s="388">
        <f>ROUND($D57*G57,2)</f>
        <v>0</v>
      </c>
      <c r="I57" s="395">
        <v>0.1</v>
      </c>
      <c r="J57" s="388">
        <f>ROUND($D57*I57,2)</f>
        <v>7131.95</v>
      </c>
      <c r="K57" s="395">
        <v>0.1</v>
      </c>
      <c r="L57" s="388">
        <f>ROUND($D57*K57,2)</f>
        <v>7131.95</v>
      </c>
      <c r="M57" s="395">
        <v>0.1</v>
      </c>
      <c r="N57" s="388">
        <f>ROUND($D57*M57,2)</f>
        <v>7131.95</v>
      </c>
      <c r="O57" s="395">
        <v>0.1</v>
      </c>
      <c r="P57" s="388">
        <f>ROUND($D57*O57,2)</f>
        <v>7131.95</v>
      </c>
      <c r="Q57" s="395">
        <v>0.1</v>
      </c>
      <c r="R57" s="388">
        <f>ROUND($D57*Q57,2)</f>
        <v>7131.95</v>
      </c>
      <c r="S57" s="395">
        <v>0.1</v>
      </c>
      <c r="T57" s="388">
        <f>ROUNDDOWN($D57*S57,2)</f>
        <v>7131.95</v>
      </c>
      <c r="U57" s="395">
        <v>0.1</v>
      </c>
      <c r="V57" s="388">
        <f>ROUNDDOWN($D57*U57,2)</f>
        <v>7131.95</v>
      </c>
      <c r="W57" s="395">
        <v>0.1</v>
      </c>
      <c r="X57" s="388">
        <f>ROUNDDOWN($D57*W57,2)</f>
        <v>7131.95</v>
      </c>
      <c r="Y57" s="395">
        <v>0.1</v>
      </c>
      <c r="Z57" s="388">
        <f>ROUNDDOWN($D57*Y57,2)</f>
        <v>7131.95</v>
      </c>
      <c r="AA57" s="395">
        <v>0.1</v>
      </c>
      <c r="AB57" s="388">
        <f>ROUNDDOWN($D57*AA57,2)</f>
        <v>7131.95</v>
      </c>
      <c r="AC57" s="390">
        <f>SUM(AA57,Y57,W57,U57,S57,Q57,O57,M57,K57,I57,G57,E57)</f>
        <v>1</v>
      </c>
      <c r="AD57" s="1353">
        <f>SUM(AB57,Z57,X57,V57,T57,R57,P57,N57,L57,J57,H57,F57)</f>
        <v>71319.5</v>
      </c>
      <c r="AE57" s="540">
        <f>AD57-D57</f>
        <v>0</v>
      </c>
    </row>
    <row r="58" spans="1:31" ht="6" customHeight="1">
      <c r="A58" s="1943"/>
      <c r="B58" s="1946"/>
      <c r="C58" s="1944"/>
      <c r="D58" s="1945"/>
      <c r="E58" s="396"/>
      <c r="F58" s="397"/>
      <c r="G58" s="398"/>
      <c r="H58" s="397"/>
      <c r="I58" s="399"/>
      <c r="J58" s="400"/>
      <c r="K58" s="399"/>
      <c r="L58" s="400"/>
      <c r="M58" s="399"/>
      <c r="N58" s="400"/>
      <c r="O58" s="399"/>
      <c r="P58" s="400"/>
      <c r="Q58" s="399"/>
      <c r="R58" s="400"/>
      <c r="S58" s="399"/>
      <c r="T58" s="400"/>
      <c r="U58" s="399"/>
      <c r="V58" s="400"/>
      <c r="W58" s="399"/>
      <c r="X58" s="400"/>
      <c r="Y58" s="399"/>
      <c r="Z58" s="400"/>
      <c r="AA58" s="399"/>
      <c r="AB58" s="400"/>
      <c r="AC58" s="390">
        <f t="shared" ref="AC58" si="22">E58+G58+I58+K58+M58+AA58</f>
        <v>0</v>
      </c>
    </row>
    <row r="59" spans="1:31" ht="30" customHeight="1">
      <c r="A59" s="1943">
        <f t="shared" ref="A59:D59" si="23">A32</f>
        <v>9</v>
      </c>
      <c r="B59" s="1946" t="str">
        <f t="shared" si="23"/>
        <v>OBRAS DE ARTES ESPECIAIS</v>
      </c>
      <c r="C59" s="1944">
        <f t="shared" si="23"/>
        <v>2.2200000000000001E-2</v>
      </c>
      <c r="D59" s="1945">
        <f t="shared" si="23"/>
        <v>657082.47</v>
      </c>
      <c r="E59" s="387"/>
      <c r="F59" s="388">
        <f>ROUND($D59*E59,2)</f>
        <v>0</v>
      </c>
      <c r="G59" s="395"/>
      <c r="H59" s="388">
        <f>ROUND($D59*G59,2)</f>
        <v>0</v>
      </c>
      <c r="I59" s="395"/>
      <c r="J59" s="388"/>
      <c r="K59" s="395"/>
      <c r="L59" s="388"/>
      <c r="M59" s="395">
        <v>0.25</v>
      </c>
      <c r="N59" s="388">
        <f>ROUND($D59*M59,2)</f>
        <v>164270.62</v>
      </c>
      <c r="O59" s="395">
        <v>0.25</v>
      </c>
      <c r="P59" s="388">
        <f>ROUND($D59*O59,2)</f>
        <v>164270.62</v>
      </c>
      <c r="Q59" s="395">
        <v>0.25</v>
      </c>
      <c r="R59" s="388">
        <f>ROUND($D59*Q59,2)</f>
        <v>164270.62</v>
      </c>
      <c r="S59" s="395">
        <v>0.25</v>
      </c>
      <c r="T59" s="388">
        <f>ROUNDDOWN($D59*S59,2)</f>
        <v>164270.60999999999</v>
      </c>
      <c r="U59" s="395"/>
      <c r="V59" s="395"/>
      <c r="W59" s="395"/>
      <c r="X59" s="395"/>
      <c r="Y59" s="395"/>
      <c r="Z59" s="395"/>
      <c r="AA59" s="395"/>
      <c r="AB59" s="1490"/>
      <c r="AC59" s="390">
        <f>SUM(AA59,Y59,W59,U59,S59,Q59,O59,M59,K59,I59,G59,E59)</f>
        <v>1</v>
      </c>
      <c r="AD59" s="1353">
        <f>SUM(AB59,Z59,X59,V59,T59,R59,P59,N59,L59,J59,H59,F59)</f>
        <v>657082.47</v>
      </c>
      <c r="AE59" s="540">
        <f>AD59-D59</f>
        <v>0</v>
      </c>
    </row>
    <row r="60" spans="1:31">
      <c r="A60" s="1943"/>
      <c r="B60" s="1946"/>
      <c r="C60" s="1944"/>
      <c r="D60" s="1945"/>
      <c r="E60" s="396"/>
      <c r="F60" s="397"/>
      <c r="G60" s="398"/>
      <c r="H60" s="397"/>
      <c r="I60" s="398"/>
      <c r="J60" s="397"/>
      <c r="K60" s="398"/>
      <c r="L60" s="397"/>
      <c r="M60" s="399"/>
      <c r="N60" s="400"/>
      <c r="O60" s="399"/>
      <c r="P60" s="400"/>
      <c r="Q60" s="399"/>
      <c r="R60" s="400"/>
      <c r="S60" s="399"/>
      <c r="T60" s="400"/>
      <c r="U60" s="466"/>
      <c r="V60" s="466"/>
      <c r="W60" s="466"/>
      <c r="X60" s="466"/>
      <c r="Y60" s="466"/>
      <c r="Z60" s="466"/>
      <c r="AA60" s="466"/>
      <c r="AB60" s="1491"/>
      <c r="AC60" s="390">
        <f t="shared" ref="AC60" si="24">E60+G60+I60+K60+M60+AA60</f>
        <v>0</v>
      </c>
    </row>
    <row r="61" spans="1:31">
      <c r="A61" s="1943">
        <f t="shared" ref="A61:D61" si="25">A34</f>
        <v>10</v>
      </c>
      <c r="B61" s="1946" t="str">
        <f t="shared" si="25"/>
        <v>SERVIÇOS COMPLEMENTARES</v>
      </c>
      <c r="C61" s="1944">
        <f t="shared" si="25"/>
        <v>1.47E-2</v>
      </c>
      <c r="D61" s="1945">
        <f t="shared" si="25"/>
        <v>436000.4</v>
      </c>
      <c r="E61" s="387"/>
      <c r="F61" s="388">
        <f>ROUND($D61*E61,2)</f>
        <v>0</v>
      </c>
      <c r="G61" s="395"/>
      <c r="H61" s="388">
        <f>ROUND($D61*G61,2)</f>
        <v>0</v>
      </c>
      <c r="I61" s="395"/>
      <c r="J61" s="388"/>
      <c r="K61" s="395"/>
      <c r="L61" s="388"/>
      <c r="M61" s="395">
        <v>0.25</v>
      </c>
      <c r="N61" s="388">
        <f>ROUND($D61*M61,2)</f>
        <v>109000.1</v>
      </c>
      <c r="O61" s="395">
        <v>0.25</v>
      </c>
      <c r="P61" s="388">
        <f>ROUND($D61*O61,2)</f>
        <v>109000.1</v>
      </c>
      <c r="Q61" s="395">
        <v>0.25</v>
      </c>
      <c r="R61" s="388">
        <f>ROUND($D61*Q61,2)</f>
        <v>109000.1</v>
      </c>
      <c r="S61" s="395">
        <v>0.25</v>
      </c>
      <c r="T61" s="388">
        <f>ROUNDUP($D61*S61,2)</f>
        <v>109000.1</v>
      </c>
      <c r="U61" s="395"/>
      <c r="V61" s="395"/>
      <c r="W61" s="395"/>
      <c r="X61" s="395"/>
      <c r="Y61" s="395"/>
      <c r="Z61" s="395"/>
      <c r="AA61" s="395"/>
      <c r="AB61" s="1490"/>
      <c r="AC61" s="390">
        <f>SUM(AA61,Y61,W61,U61,S61,Q61,O61,M61,K61,I61,G61,E61)</f>
        <v>1</v>
      </c>
      <c r="AD61" s="1353">
        <f>SUM(AB61,Z61,X61,V61,T61,R61,P61,N61,L61,J61,H61,F61)</f>
        <v>436000.4</v>
      </c>
      <c r="AE61" s="540">
        <f>AD61-D61</f>
        <v>0</v>
      </c>
    </row>
    <row r="62" spans="1:31">
      <c r="A62" s="1943"/>
      <c r="B62" s="1946"/>
      <c r="C62" s="1944"/>
      <c r="D62" s="1945"/>
      <c r="E62" s="396"/>
      <c r="F62" s="397"/>
      <c r="G62" s="398"/>
      <c r="H62" s="397"/>
      <c r="I62" s="398"/>
      <c r="J62" s="397"/>
      <c r="K62" s="398"/>
      <c r="L62" s="397"/>
      <c r="M62" s="399"/>
      <c r="N62" s="400"/>
      <c r="O62" s="399"/>
      <c r="P62" s="400"/>
      <c r="Q62" s="399"/>
      <c r="R62" s="400"/>
      <c r="S62" s="399"/>
      <c r="T62" s="400"/>
      <c r="U62" s="466"/>
      <c r="V62" s="466"/>
      <c r="W62" s="466"/>
      <c r="X62" s="466"/>
      <c r="Y62" s="466"/>
      <c r="Z62" s="466"/>
      <c r="AA62" s="466"/>
      <c r="AB62" s="1491"/>
      <c r="AC62" s="390">
        <f t="shared" ref="AC62" si="26">E62+G62+I62+K62+M62+AA62</f>
        <v>0</v>
      </c>
    </row>
    <row r="63" spans="1:31" ht="30" customHeight="1">
      <c r="A63" s="1943">
        <f>A36</f>
        <v>11</v>
      </c>
      <c r="B63" s="1946" t="str">
        <f>B36</f>
        <v>PREVENÇÃO DE INUNDAÇÕES</v>
      </c>
      <c r="C63" s="1944">
        <f>C36</f>
        <v>6.1699999999999998E-2</v>
      </c>
      <c r="D63" s="1945">
        <f>D36</f>
        <v>1829446.07</v>
      </c>
      <c r="E63" s="395">
        <v>0.1</v>
      </c>
      <c r="F63" s="388">
        <f>ROUND($D63*E63,2)</f>
        <v>182944.61</v>
      </c>
      <c r="G63" s="395">
        <v>0.1</v>
      </c>
      <c r="H63" s="388">
        <f>ROUND($D63*G63,2)</f>
        <v>182944.61</v>
      </c>
      <c r="I63" s="395">
        <v>0.1</v>
      </c>
      <c r="J63" s="388">
        <f>ROUND($D63*I63,2)</f>
        <v>182944.61</v>
      </c>
      <c r="K63" s="395">
        <v>0.1</v>
      </c>
      <c r="L63" s="388">
        <f>ROUND($D63*K63,2)</f>
        <v>182944.61</v>
      </c>
      <c r="M63" s="395">
        <v>0.1</v>
      </c>
      <c r="N63" s="388">
        <f>ROUND($D63*M63,2)</f>
        <v>182944.61</v>
      </c>
      <c r="O63" s="395">
        <v>0.1</v>
      </c>
      <c r="P63" s="388">
        <f>ROUNDDOWN($D63*O63,2)</f>
        <v>182944.6</v>
      </c>
      <c r="Q63" s="395">
        <v>0.1</v>
      </c>
      <c r="R63" s="388">
        <f>ROUNDDOWN($D63*Q63,2)</f>
        <v>182944.6</v>
      </c>
      <c r="S63" s="395">
        <v>0.1</v>
      </c>
      <c r="T63" s="388">
        <f>ROUNDDOWN($D63*S63,2)</f>
        <v>182944.6</v>
      </c>
      <c r="U63" s="395">
        <v>0.1</v>
      </c>
      <c r="V63" s="388">
        <f>ROUNDUP($D63*U63,2)</f>
        <v>182944.61</v>
      </c>
      <c r="W63" s="395">
        <v>0.1</v>
      </c>
      <c r="X63" s="388">
        <f>ROUNDUP($D63*W63,2)</f>
        <v>182944.61</v>
      </c>
      <c r="Y63" s="395"/>
      <c r="Z63" s="395"/>
      <c r="AA63" s="395"/>
      <c r="AB63" s="1490"/>
      <c r="AC63" s="390">
        <f>SUM(AA63,Y63,W63,U63,S63,Q63,O63,M63,K63,I63,G63,E63)</f>
        <v>1</v>
      </c>
      <c r="AD63" s="1353">
        <f>SUM(AB63,Z63,X63,V63,T63,R63,P63,N63,L63,J63,H63,F63)</f>
        <v>1829446.07</v>
      </c>
      <c r="AE63" s="540">
        <f>AD63-D63</f>
        <v>0</v>
      </c>
    </row>
    <row r="64" spans="1:31">
      <c r="A64" s="1943"/>
      <c r="B64" s="1946"/>
      <c r="C64" s="1944"/>
      <c r="D64" s="1945"/>
      <c r="E64" s="399"/>
      <c r="F64" s="400"/>
      <c r="G64" s="399"/>
      <c r="H64" s="400"/>
      <c r="I64" s="399"/>
      <c r="J64" s="400"/>
      <c r="K64" s="399"/>
      <c r="L64" s="400"/>
      <c r="M64" s="399"/>
      <c r="N64" s="400"/>
      <c r="O64" s="399"/>
      <c r="P64" s="400"/>
      <c r="Q64" s="399"/>
      <c r="R64" s="400"/>
      <c r="S64" s="399"/>
      <c r="T64" s="400"/>
      <c r="U64" s="399"/>
      <c r="V64" s="400"/>
      <c r="W64" s="399"/>
      <c r="X64" s="400"/>
      <c r="Y64" s="466"/>
      <c r="Z64" s="466"/>
      <c r="AA64" s="466"/>
      <c r="AB64" s="1491"/>
      <c r="AC64" s="390">
        <f t="shared" ref="AC64" si="27">E64+G64+I64+K64+M64+AA64</f>
        <v>0</v>
      </c>
    </row>
    <row r="65" spans="1:31" ht="25.15" customHeight="1">
      <c r="A65" s="1955" t="s">
        <v>1886</v>
      </c>
      <c r="B65" s="382" t="s">
        <v>212</v>
      </c>
      <c r="C65" s="1944">
        <f>ROUND(SUM(C43:C63),2)</f>
        <v>1</v>
      </c>
      <c r="D65" s="1434">
        <f>ROUND(SUM(D43:D63),2)</f>
        <v>29644072.350000001</v>
      </c>
      <c r="E65" s="401">
        <f>F65/$D$66</f>
        <v>4.9200000000000001E-2</v>
      </c>
      <c r="F65" s="386">
        <f>F43+F45+F47+F49+F51+F59+F53+F55+F57+F63+F61</f>
        <v>2914038.37</v>
      </c>
      <c r="G65" s="401">
        <f>H65/$D$66</f>
        <v>4.9200000000000001E-2</v>
      </c>
      <c r="H65" s="386">
        <f>H43+H45+H47+H49+H51+H59+H53+H55+H57+H63+H61</f>
        <v>2914038.37</v>
      </c>
      <c r="I65" s="401">
        <f>J65/$D$66</f>
        <v>5.8000000000000003E-2</v>
      </c>
      <c r="J65" s="386">
        <f>J43+J45+J47+J49+J51+J59+J53+J55+J57+J63+J61</f>
        <v>3441173.72</v>
      </c>
      <c r="K65" s="401">
        <f>L65/$D$66</f>
        <v>5.8000000000000003E-2</v>
      </c>
      <c r="L65" s="386">
        <f>L43+L45+L47+L49+L51+L59+L53+L55+L57+L63+L61</f>
        <v>3441173.72</v>
      </c>
      <c r="M65" s="401">
        <f>N65/$D$66</f>
        <v>4.2799999999999998E-2</v>
      </c>
      <c r="N65" s="386">
        <f>N43+N45+N47+N49+N51+N59+N53+N55+N57+N63+N61</f>
        <v>2537444.92</v>
      </c>
      <c r="O65" s="401">
        <f>P65/$D$66</f>
        <v>4.2799999999999998E-2</v>
      </c>
      <c r="P65" s="386">
        <f>P43+P45+P47+P49+P51+P59+P53+P55+P57+P63+P61</f>
        <v>2537444.91</v>
      </c>
      <c r="Q65" s="401">
        <f>R65/$D$66</f>
        <v>4.2799999999999998E-2</v>
      </c>
      <c r="R65" s="386">
        <f>R43+R45+R47+R49+R51+R59+R53+R55+R57+R63+R61</f>
        <v>2537444.91</v>
      </c>
      <c r="S65" s="401">
        <f>T65/$D$66</f>
        <v>4.2799999999999998E-2</v>
      </c>
      <c r="T65" s="386">
        <f>T43+T45+T47+T49+T51+T59+T53+T55+T57+T63+T61</f>
        <v>2537444.89</v>
      </c>
      <c r="U65" s="401">
        <f>V65/$D$66</f>
        <v>3.8199999999999998E-2</v>
      </c>
      <c r="V65" s="386">
        <f>V43+V45+V47+V49+V51+V59+V53+V55+V57+V63+V61</f>
        <v>2264174.19</v>
      </c>
      <c r="W65" s="401">
        <f>X65/$D$66</f>
        <v>3.8199999999999998E-2</v>
      </c>
      <c r="X65" s="386">
        <f>X43+X45+X47+X49+X51+X59+X53+X55+X57+X63+X61</f>
        <v>2264174.19</v>
      </c>
      <c r="Y65" s="401">
        <f>Z65/$D$66</f>
        <v>1.9E-2</v>
      </c>
      <c r="Z65" s="386">
        <f>Z43+Z45+Z47+Z49+Z51+Z59+Z53+Z55+Z57+Z63+Z61</f>
        <v>1127760.08</v>
      </c>
      <c r="AA65" s="401">
        <f>AB65/$D$66</f>
        <v>1.9E-2</v>
      </c>
      <c r="AB65" s="386">
        <f>AB43+AB45+AB47+AB49+AB51+AB59+AB53+AB55+AB57+AB63+AB61</f>
        <v>1127760.08</v>
      </c>
    </row>
    <row r="66" spans="1:31" ht="25.15" customHeight="1" thickBot="1">
      <c r="A66" s="1956"/>
      <c r="B66" s="402" t="s">
        <v>213</v>
      </c>
      <c r="C66" s="1957">
        <v>1</v>
      </c>
      <c r="D66" s="1436">
        <f>D65+D38</f>
        <v>59288144.700000003</v>
      </c>
      <c r="E66" s="404">
        <f>F66/$D$66</f>
        <v>0.54920000000000002</v>
      </c>
      <c r="F66" s="403">
        <f>F65+AB39</f>
        <v>32558110.719999999</v>
      </c>
      <c r="G66" s="404">
        <f>H66/$D$66</f>
        <v>0.59830000000000005</v>
      </c>
      <c r="H66" s="403">
        <f>F66+H65</f>
        <v>35472149.090000004</v>
      </c>
      <c r="I66" s="404">
        <f>J66/$D$66</f>
        <v>0.65629999999999999</v>
      </c>
      <c r="J66" s="403">
        <f>H66+J65</f>
        <v>38913322.810000002</v>
      </c>
      <c r="K66" s="404">
        <f>L66/$D$66</f>
        <v>0.71440000000000003</v>
      </c>
      <c r="L66" s="403">
        <f>J66+L65</f>
        <v>42354496.530000001</v>
      </c>
      <c r="M66" s="404">
        <f>N66/$D$66</f>
        <v>0.75719999999999998</v>
      </c>
      <c r="N66" s="403">
        <f>L66+N65</f>
        <v>44891941.450000003</v>
      </c>
      <c r="O66" s="404">
        <f>P66/$D$66</f>
        <v>0.8</v>
      </c>
      <c r="P66" s="403">
        <f>N66+P65</f>
        <v>47429386.359999999</v>
      </c>
      <c r="Q66" s="404">
        <f>R66/$D$66</f>
        <v>0.84279999999999999</v>
      </c>
      <c r="R66" s="403">
        <f>P66+R65</f>
        <v>49966831.270000003</v>
      </c>
      <c r="S66" s="404">
        <f>T66/$D$66</f>
        <v>0.88560000000000005</v>
      </c>
      <c r="T66" s="403">
        <f>R66+T65</f>
        <v>52504276.159999996</v>
      </c>
      <c r="U66" s="404">
        <f>V66/$D$66</f>
        <v>0.92379999999999995</v>
      </c>
      <c r="V66" s="403">
        <f>T66+V65</f>
        <v>54768450.350000001</v>
      </c>
      <c r="W66" s="404">
        <f>X66/$D$66</f>
        <v>0.96199999999999997</v>
      </c>
      <c r="X66" s="403">
        <f>V66+X65</f>
        <v>57032624.539999999</v>
      </c>
      <c r="Y66" s="404">
        <f>Z66/$D$66</f>
        <v>0.98099999999999998</v>
      </c>
      <c r="Z66" s="403">
        <f>X66+Z65</f>
        <v>58160384.619999997</v>
      </c>
      <c r="AA66" s="404">
        <f>AB66/$D$66</f>
        <v>1</v>
      </c>
      <c r="AB66" s="403">
        <f>Z66+AB65</f>
        <v>59288144.700000003</v>
      </c>
      <c r="AC66" s="1352">
        <f>'PLANILHA GERAL'!K306</f>
        <v>0</v>
      </c>
      <c r="AD66" s="540">
        <f>AC66-AB66</f>
        <v>-59288144.700000003</v>
      </c>
      <c r="AE66" s="540">
        <f>SUM(AE43:AE63)</f>
        <v>0</v>
      </c>
    </row>
    <row r="68" spans="1:31">
      <c r="D68" s="1435">
        <f>'PLANILHA GERAL'!K279</f>
        <v>59288144.700000003</v>
      </c>
    </row>
    <row r="96" spans="2:28" ht="16.5">
      <c r="B96" s="416" t="s">
        <v>571</v>
      </c>
      <c r="C96" s="1954" t="s">
        <v>572</v>
      </c>
      <c r="D96" s="1954"/>
      <c r="E96" s="1954"/>
      <c r="F96" s="1954"/>
      <c r="G96" s="1954"/>
      <c r="H96" s="1954"/>
      <c r="I96" s="1954"/>
      <c r="J96" s="1954"/>
      <c r="K96" s="1954"/>
      <c r="L96" s="1954"/>
      <c r="M96" s="465"/>
      <c r="N96" s="465"/>
      <c r="O96" s="465"/>
      <c r="P96" s="465"/>
      <c r="Q96" s="465"/>
      <c r="R96" s="465"/>
      <c r="S96" s="465"/>
      <c r="T96" s="465"/>
      <c r="U96" s="465"/>
      <c r="V96" s="465"/>
      <c r="W96" s="465"/>
      <c r="X96" s="465"/>
      <c r="Y96" s="465"/>
      <c r="Z96" s="465"/>
      <c r="AA96" s="465"/>
      <c r="AB96" s="465"/>
    </row>
    <row r="97" spans="2:28" ht="16.5">
      <c r="B97" s="415"/>
      <c r="C97" s="415"/>
      <c r="D97" s="415"/>
      <c r="E97" s="415"/>
      <c r="F97" s="415"/>
      <c r="G97" s="415"/>
      <c r="H97" s="415"/>
      <c r="I97" s="415"/>
      <c r="J97" s="415"/>
      <c r="K97" s="415"/>
      <c r="L97" s="415"/>
      <c r="M97" s="415"/>
      <c r="N97" s="415"/>
      <c r="O97" s="415"/>
      <c r="P97" s="415"/>
      <c r="Q97" s="415"/>
      <c r="R97" s="415"/>
      <c r="S97" s="415"/>
      <c r="T97" s="415"/>
      <c r="U97" s="415"/>
      <c r="V97" s="415"/>
      <c r="W97" s="415"/>
      <c r="X97" s="415"/>
      <c r="Y97" s="415"/>
      <c r="Z97" s="415"/>
      <c r="AA97" s="415"/>
      <c r="AB97" s="415"/>
    </row>
  </sheetData>
  <sheetProtection formatCells="0" formatColumns="0" formatRows="0" insertColumns="0" insertRows="0" insertHyperlinks="0" deleteColumns="0" deleteRows="0" sort="0" autoFilter="0" pivotTables="0"/>
  <mergeCells count="137">
    <mergeCell ref="W41:X41"/>
    <mergeCell ref="Y41:Z41"/>
    <mergeCell ref="AA41:AB41"/>
    <mergeCell ref="B61:B62"/>
    <mergeCell ref="A63:A64"/>
    <mergeCell ref="B63:B64"/>
    <mergeCell ref="C63:C64"/>
    <mergeCell ref="D63:D64"/>
    <mergeCell ref="A65:A66"/>
    <mergeCell ref="C65:C66"/>
    <mergeCell ref="E41:F41"/>
    <mergeCell ref="G41:H41"/>
    <mergeCell ref="I41:J41"/>
    <mergeCell ref="K41:L41"/>
    <mergeCell ref="M41:N41"/>
    <mergeCell ref="O41:P41"/>
    <mergeCell ref="Q41:R41"/>
    <mergeCell ref="S41:T41"/>
    <mergeCell ref="U41:V41"/>
    <mergeCell ref="C45:C46"/>
    <mergeCell ref="D45:D46"/>
    <mergeCell ref="A47:A48"/>
    <mergeCell ref="B47:B48"/>
    <mergeCell ref="C47:C48"/>
    <mergeCell ref="A1:AB3"/>
    <mergeCell ref="A10:AB10"/>
    <mergeCell ref="A11:AB12"/>
    <mergeCell ref="E13:AB13"/>
    <mergeCell ref="M14:N14"/>
    <mergeCell ref="AA14:AB14"/>
    <mergeCell ref="A4:AB4"/>
    <mergeCell ref="A5:AB5"/>
    <mergeCell ref="A6:AB6"/>
    <mergeCell ref="B8:AB8"/>
    <mergeCell ref="A9:AB9"/>
    <mergeCell ref="A7:AB7"/>
    <mergeCell ref="K14:L14"/>
    <mergeCell ref="E14:F14"/>
    <mergeCell ref="I14:J14"/>
    <mergeCell ref="O14:P14"/>
    <mergeCell ref="Q14:R14"/>
    <mergeCell ref="S14:T14"/>
    <mergeCell ref="U14:V14"/>
    <mergeCell ref="W14:X14"/>
    <mergeCell ref="Y14:Z14"/>
    <mergeCell ref="C96:L96"/>
    <mergeCell ref="A38:A39"/>
    <mergeCell ref="C38:C39"/>
    <mergeCell ref="D38:D39"/>
    <mergeCell ref="D30:D31"/>
    <mergeCell ref="A32:A33"/>
    <mergeCell ref="B32:B33"/>
    <mergeCell ref="C32:C33"/>
    <mergeCell ref="D32:D33"/>
    <mergeCell ref="A36:A37"/>
    <mergeCell ref="B36:B37"/>
    <mergeCell ref="C36:C37"/>
    <mergeCell ref="D36:D37"/>
    <mergeCell ref="A34:A35"/>
    <mergeCell ref="B34:B35"/>
    <mergeCell ref="C34:C35"/>
    <mergeCell ref="D34:D35"/>
    <mergeCell ref="A40:A42"/>
    <mergeCell ref="B40:B42"/>
    <mergeCell ref="C40:C42"/>
    <mergeCell ref="D40:D42"/>
    <mergeCell ref="E40:AB40"/>
    <mergeCell ref="A45:A46"/>
    <mergeCell ref="B45:B46"/>
    <mergeCell ref="D28:D29"/>
    <mergeCell ref="D24:D25"/>
    <mergeCell ref="A30:A31"/>
    <mergeCell ref="B30:B31"/>
    <mergeCell ref="C30:C31"/>
    <mergeCell ref="B28:B29"/>
    <mergeCell ref="A28:A29"/>
    <mergeCell ref="C28:C29"/>
    <mergeCell ref="A26:A27"/>
    <mergeCell ref="C24:C25"/>
    <mergeCell ref="B24:B25"/>
    <mergeCell ref="D26:D27"/>
    <mergeCell ref="B26:B27"/>
    <mergeCell ref="C26:C27"/>
    <mergeCell ref="A22:A23"/>
    <mergeCell ref="B22:B23"/>
    <mergeCell ref="C22:C23"/>
    <mergeCell ref="D22:D23"/>
    <mergeCell ref="A20:A21"/>
    <mergeCell ref="B20:B21"/>
    <mergeCell ref="C20:C21"/>
    <mergeCell ref="D20:D21"/>
    <mergeCell ref="A24:A25"/>
    <mergeCell ref="A18:A19"/>
    <mergeCell ref="B18:B19"/>
    <mergeCell ref="G14:H14"/>
    <mergeCell ref="C18:C19"/>
    <mergeCell ref="D18:D19"/>
    <mergeCell ref="A16:A17"/>
    <mergeCell ref="B16:B17"/>
    <mergeCell ref="C16:C17"/>
    <mergeCell ref="D16:D17"/>
    <mergeCell ref="A13:A15"/>
    <mergeCell ref="B13:B15"/>
    <mergeCell ref="C13:C15"/>
    <mergeCell ref="D13:D15"/>
    <mergeCell ref="D47:D48"/>
    <mergeCell ref="A43:A44"/>
    <mergeCell ref="B43:B44"/>
    <mergeCell ref="C43:C44"/>
    <mergeCell ref="D43:D44"/>
    <mergeCell ref="A53:A54"/>
    <mergeCell ref="B53:B54"/>
    <mergeCell ref="C53:C54"/>
    <mergeCell ref="D53:D54"/>
    <mergeCell ref="A55:A56"/>
    <mergeCell ref="B55:B56"/>
    <mergeCell ref="C55:C56"/>
    <mergeCell ref="D55:D56"/>
    <mergeCell ref="A49:A50"/>
    <mergeCell ref="B49:B50"/>
    <mergeCell ref="C49:C50"/>
    <mergeCell ref="D49:D50"/>
    <mergeCell ref="A51:A52"/>
    <mergeCell ref="B51:B52"/>
    <mergeCell ref="C51:C52"/>
    <mergeCell ref="D51:D52"/>
    <mergeCell ref="A61:A62"/>
    <mergeCell ref="C61:C62"/>
    <mergeCell ref="D61:D62"/>
    <mergeCell ref="A57:A58"/>
    <mergeCell ref="B57:B58"/>
    <mergeCell ref="C57:C58"/>
    <mergeCell ref="D57:D58"/>
    <mergeCell ref="A59:A60"/>
    <mergeCell ref="B59:B60"/>
    <mergeCell ref="C59:C60"/>
    <mergeCell ref="D59:D60"/>
  </mergeCells>
  <printOptions horizontalCentered="1"/>
  <pageMargins left="0.51181102362204722" right="0.51181102362204722" top="0.78740157480314965" bottom="0.78740157480314965" header="0.31496062992125984" footer="0.31496062992125984"/>
  <pageSetup paperSize="8" scale="32"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36</vt:i4>
      </vt:variant>
      <vt:variant>
        <vt:lpstr>Intervalos Nomeados</vt:lpstr>
      </vt:variant>
      <vt:variant>
        <vt:i4>52</vt:i4>
      </vt:variant>
    </vt:vector>
  </HeadingPairs>
  <TitlesOfParts>
    <vt:vector size="88" baseType="lpstr">
      <vt:lpstr>PLANILHA GERAL</vt:lpstr>
      <vt:lpstr>MC-DRE</vt:lpstr>
      <vt:lpstr>MC-TER</vt:lpstr>
      <vt:lpstr>MC TERR</vt:lpstr>
      <vt:lpstr>MC-PAV</vt:lpstr>
      <vt:lpstr>Orç PONTE</vt:lpstr>
      <vt:lpstr>MC-PONTE</vt:lpstr>
      <vt:lpstr>MC DESM</vt:lpstr>
      <vt:lpstr>CRONOGRAMA</vt:lpstr>
      <vt:lpstr>RESUMO</vt:lpstr>
      <vt:lpstr>DADOS</vt:lpstr>
      <vt:lpstr>PREV INUNDAÇÕES</vt:lpstr>
      <vt:lpstr>MC D</vt:lpstr>
      <vt:lpstr>Composição-</vt:lpstr>
      <vt:lpstr>Composição1a</vt:lpstr>
      <vt:lpstr>Composição2</vt:lpstr>
      <vt:lpstr>Composição3a</vt:lpstr>
      <vt:lpstr>Composição4</vt:lpstr>
      <vt:lpstr>Composição5</vt:lpstr>
      <vt:lpstr>Composição6</vt:lpstr>
      <vt:lpstr>Composição7</vt:lpstr>
      <vt:lpstr>Composição8</vt:lpstr>
      <vt:lpstr>CPU'S</vt:lpstr>
      <vt:lpstr>CPU I</vt:lpstr>
      <vt:lpstr>CPU - 1</vt:lpstr>
      <vt:lpstr>CPU - 2</vt:lpstr>
      <vt:lpstr>CPU - 3</vt:lpstr>
      <vt:lpstr>CPU - 4</vt:lpstr>
      <vt:lpstr>CPU - 5</vt:lpstr>
      <vt:lpstr>CPU - 6</vt:lpstr>
      <vt:lpstr>CPU - 7</vt:lpstr>
      <vt:lpstr>CPU-VII</vt:lpstr>
      <vt:lpstr>LS</vt:lpstr>
      <vt:lpstr>BDI</vt:lpstr>
      <vt:lpstr>CPU-cbuq</vt:lpstr>
      <vt:lpstr>PV PARA REDE 600</vt:lpstr>
      <vt:lpstr>BDI!Area_de_impressao</vt:lpstr>
      <vt:lpstr>'Composição-'!Area_de_impressao</vt:lpstr>
      <vt:lpstr>Composição1a!Area_de_impressao</vt:lpstr>
      <vt:lpstr>Composição2!Area_de_impressao</vt:lpstr>
      <vt:lpstr>Composição3a!Area_de_impressao</vt:lpstr>
      <vt:lpstr>Composição4!Area_de_impressao</vt:lpstr>
      <vt:lpstr>Composição5!Area_de_impressao</vt:lpstr>
      <vt:lpstr>Composição6!Area_de_impressao</vt:lpstr>
      <vt:lpstr>Composição7!Area_de_impressao</vt:lpstr>
      <vt:lpstr>Composição8!Area_de_impressao</vt:lpstr>
      <vt:lpstr>'CPU - 1'!Area_de_impressao</vt:lpstr>
      <vt:lpstr>'CPU - 2'!Area_de_impressao</vt:lpstr>
      <vt:lpstr>'CPU - 3'!Area_de_impressao</vt:lpstr>
      <vt:lpstr>'CPU - 4'!Area_de_impressao</vt:lpstr>
      <vt:lpstr>'CPU - 5'!Area_de_impressao</vt:lpstr>
      <vt:lpstr>'CPU - 6'!Area_de_impressao</vt:lpstr>
      <vt:lpstr>'CPU - 7'!Area_de_impressao</vt:lpstr>
      <vt:lpstr>'CPU I'!Area_de_impressao</vt:lpstr>
      <vt:lpstr>'CPU-cbuq'!Area_de_impressao</vt:lpstr>
      <vt:lpstr>'CPU''S'!Area_de_impressao</vt:lpstr>
      <vt:lpstr>'CPU-VII'!Area_de_impressao</vt:lpstr>
      <vt:lpstr>CRONOGRAMA!Area_de_impressao</vt:lpstr>
      <vt:lpstr>DADOS!Area_de_impressao</vt:lpstr>
      <vt:lpstr>'MC D'!Area_de_impressao</vt:lpstr>
      <vt:lpstr>'MC DESM'!Area_de_impressao</vt:lpstr>
      <vt:lpstr>'MC TERR'!Area_de_impressao</vt:lpstr>
      <vt:lpstr>'MC-DRE'!Area_de_impressao</vt:lpstr>
      <vt:lpstr>'MC-PAV'!Area_de_impressao</vt:lpstr>
      <vt:lpstr>'MC-PONTE'!Area_de_impressao</vt:lpstr>
      <vt:lpstr>'MC-TER'!Area_de_impressao</vt:lpstr>
      <vt:lpstr>'Orç PONTE'!Area_de_impressao</vt:lpstr>
      <vt:lpstr>'PLANILHA GERAL'!Area_de_impressao</vt:lpstr>
      <vt:lpstr>'PREV INUNDAÇÕES'!Area_de_impressao</vt:lpstr>
      <vt:lpstr>RESUMO!Area_de_impressao</vt:lpstr>
      <vt:lpstr>'Composição-'!Titulos_de_impressao</vt:lpstr>
      <vt:lpstr>Composição1a!Titulos_de_impressao</vt:lpstr>
      <vt:lpstr>Composição2!Titulos_de_impressao</vt:lpstr>
      <vt:lpstr>Composição3a!Titulos_de_impressao</vt:lpstr>
      <vt:lpstr>Composição4!Titulos_de_impressao</vt:lpstr>
      <vt:lpstr>Composição5!Titulos_de_impressao</vt:lpstr>
      <vt:lpstr>Composição6!Titulos_de_impressao</vt:lpstr>
      <vt:lpstr>Composição7!Titulos_de_impressao</vt:lpstr>
      <vt:lpstr>Composição8!Titulos_de_impressao</vt:lpstr>
      <vt:lpstr>'CPU - 3'!Titulos_de_impressao</vt:lpstr>
      <vt:lpstr>'CPU''S'!Titulos_de_impressao</vt:lpstr>
      <vt:lpstr>'MC DESM'!Titulos_de_impressao</vt:lpstr>
      <vt:lpstr>'MC TERR'!Titulos_de_impressao</vt:lpstr>
      <vt:lpstr>'MC-DRE'!Titulos_de_impressao</vt:lpstr>
      <vt:lpstr>'MC-PAV'!Titulos_de_impressao</vt:lpstr>
      <vt:lpstr>'MC-PONTE'!Titulos_de_impressao</vt:lpstr>
      <vt:lpstr>'PLANILHA GERAL'!Titulos_de_impressao</vt:lpstr>
      <vt:lpstr>'PREV INUNDAÇÕES'!Titulos_de_impressao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LocDesk</cp:lastModifiedBy>
  <cp:lastPrinted>2024-09-16T18:59:40Z</cp:lastPrinted>
  <dcterms:created xsi:type="dcterms:W3CDTF">2005-01-22T11:41:57Z</dcterms:created>
  <dcterms:modified xsi:type="dcterms:W3CDTF">2024-11-01T16:43:44Z</dcterms:modified>
</cp:coreProperties>
</file>